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codeName="ThisWorkbook"/>
  <mc:AlternateContent xmlns:mc="http://schemas.openxmlformats.org/markup-compatibility/2006">
    <mc:Choice Requires="x15">
      <x15ac:absPath xmlns:x15ac="http://schemas.microsoft.com/office/spreadsheetml/2010/11/ac" url="C:\Dropbox\Giles LLC\Client Sample Docs\Ryans EOS Sample Docs for MSPs\"/>
    </mc:Choice>
  </mc:AlternateContent>
  <xr:revisionPtr revIDLastSave="0" documentId="13_ncr:1_{B2E0AEFF-ED29-4E15-83BF-8B95D8FF3760}" xr6:coauthVersionLast="34" xr6:coauthVersionMax="34" xr10:uidLastSave="{00000000-0000-0000-0000-000000000000}"/>
  <bookViews>
    <workbookView xWindow="0" yWindow="0" windowWidth="24000" windowHeight="13635" tabRatio="756" activeTab="1" xr2:uid="{00000000-000D-0000-FFFF-FFFF00000000}"/>
  </bookViews>
  <sheets>
    <sheet name="Exec Summary" sheetId="7" r:id="rId1"/>
    <sheet name="Budget" sheetId="2" r:id="rId2"/>
    <sheet name="Sheet2" sheetId="17" state="hidden" r:id="rId3"/>
    <sheet name="ACTUAL" sheetId="3" r:id="rId4"/>
    <sheet name="EXPENSE VARIANCES" sheetId="4" r:id="rId5"/>
    <sheet name="Sheet1" sheetId="13" state="hidden" r:id="rId6"/>
  </sheets>
  <calcPr calcId="179017"/>
</workbook>
</file>

<file path=xl/calcChain.xml><?xml version="1.0" encoding="utf-8"?>
<calcChain xmlns="http://schemas.openxmlformats.org/spreadsheetml/2006/main">
  <c r="C40" i="4" l="1"/>
  <c r="C41" i="4"/>
  <c r="C42" i="4"/>
  <c r="C43" i="4"/>
  <c r="C44" i="4"/>
  <c r="C45" i="4"/>
  <c r="C46" i="4"/>
  <c r="C47" i="4"/>
  <c r="C48" i="4"/>
  <c r="D40" i="4"/>
  <c r="E40" i="4"/>
  <c r="F40" i="4"/>
  <c r="G40" i="4"/>
  <c r="H40" i="4"/>
  <c r="I40" i="4"/>
  <c r="J40" i="4"/>
  <c r="K40" i="4"/>
  <c r="L40" i="4"/>
  <c r="M40" i="4"/>
  <c r="C43" i="3"/>
  <c r="D43" i="3"/>
  <c r="E43" i="3"/>
  <c r="F43" i="3"/>
  <c r="B95" i="2"/>
  <c r="C19" i="3" l="1"/>
  <c r="D77" i="4" l="1"/>
  <c r="E77" i="4"/>
  <c r="F77" i="4"/>
  <c r="G77" i="4"/>
  <c r="H77" i="4"/>
  <c r="C77" i="4"/>
  <c r="G19" i="3" l="1"/>
  <c r="M75" i="3" l="1"/>
  <c r="N77" i="4"/>
  <c r="L75" i="3"/>
  <c r="M77" i="4"/>
  <c r="K75" i="3"/>
  <c r="L77" i="4"/>
  <c r="J75" i="3"/>
  <c r="K77" i="4"/>
  <c r="I75" i="3"/>
  <c r="J77" i="4"/>
  <c r="H75" i="3"/>
  <c r="I77" i="4"/>
  <c r="G75" i="3"/>
  <c r="F75" i="3"/>
  <c r="E75" i="3"/>
  <c r="D75" i="3"/>
  <c r="D114" i="3" l="1"/>
  <c r="C114" i="3"/>
  <c r="M114" i="3"/>
  <c r="J114" i="3"/>
  <c r="H114" i="3"/>
  <c r="G114" i="3"/>
  <c r="F114" i="3"/>
  <c r="E114" i="3"/>
  <c r="L114" i="3"/>
  <c r="K114" i="3"/>
  <c r="I114" i="3"/>
  <c r="B114" i="3" l="1"/>
  <c r="N114" i="3" s="1"/>
  <c r="C111" i="3" l="1"/>
  <c r="D111" i="3"/>
  <c r="E111" i="3"/>
  <c r="F111" i="3"/>
  <c r="G111" i="3"/>
  <c r="H111" i="3"/>
  <c r="I111" i="3"/>
  <c r="J111" i="3"/>
  <c r="K111" i="3"/>
  <c r="L111" i="3"/>
  <c r="M111" i="3"/>
  <c r="B111" i="3"/>
  <c r="C108" i="3"/>
  <c r="D108" i="3"/>
  <c r="E108" i="3"/>
  <c r="F108" i="3"/>
  <c r="G108" i="3"/>
  <c r="H108" i="3"/>
  <c r="I108" i="3"/>
  <c r="J108" i="3"/>
  <c r="K108" i="3"/>
  <c r="L108" i="3"/>
  <c r="M108" i="3"/>
  <c r="C107" i="3"/>
  <c r="D107" i="3"/>
  <c r="E107" i="3"/>
  <c r="F107" i="3"/>
  <c r="G107" i="3"/>
  <c r="H107" i="3"/>
  <c r="I107" i="3"/>
  <c r="J107" i="3"/>
  <c r="K107" i="3"/>
  <c r="L107" i="3"/>
  <c r="M107" i="3"/>
  <c r="B107" i="3"/>
  <c r="N36" i="3"/>
  <c r="N29" i="3"/>
  <c r="N15" i="3"/>
  <c r="N111" i="3" l="1"/>
  <c r="C107" i="2"/>
  <c r="D107" i="2"/>
  <c r="E107" i="2"/>
  <c r="F107" i="2"/>
  <c r="G107" i="2"/>
  <c r="H107" i="2"/>
  <c r="I107" i="2"/>
  <c r="J107" i="2"/>
  <c r="K107" i="2"/>
  <c r="L107" i="2"/>
  <c r="M107" i="2"/>
  <c r="B107" i="2"/>
  <c r="B103" i="2"/>
  <c r="C39" i="2"/>
  <c r="D39" i="2"/>
  <c r="E39" i="2"/>
  <c r="F39" i="2"/>
  <c r="G39" i="2"/>
  <c r="H39" i="2"/>
  <c r="I39" i="2"/>
  <c r="J39" i="2"/>
  <c r="K39" i="2"/>
  <c r="L39" i="2"/>
  <c r="M39" i="2"/>
  <c r="B39" i="2"/>
  <c r="C20" i="2"/>
  <c r="C43" i="2" s="1"/>
  <c r="D20" i="2"/>
  <c r="D43" i="2" s="1"/>
  <c r="E20" i="2"/>
  <c r="E43" i="2" s="1"/>
  <c r="F20" i="2"/>
  <c r="F43" i="2" s="1"/>
  <c r="G20" i="2"/>
  <c r="G43" i="2" s="1"/>
  <c r="H20" i="2"/>
  <c r="H43" i="2" s="1"/>
  <c r="I20" i="2"/>
  <c r="I43" i="2" s="1"/>
  <c r="J20" i="2"/>
  <c r="J43" i="2" s="1"/>
  <c r="K20" i="2"/>
  <c r="K43" i="2" s="1"/>
  <c r="L20" i="2"/>
  <c r="L43" i="2" s="1"/>
  <c r="M20" i="2"/>
  <c r="M43" i="2" s="1"/>
  <c r="N30" i="2"/>
  <c r="N16" i="2"/>
  <c r="N107" i="2" l="1"/>
  <c r="N46" i="4"/>
  <c r="N45" i="4"/>
  <c r="N44" i="4"/>
  <c r="N43" i="4"/>
  <c r="N41" i="4"/>
  <c r="N14" i="3"/>
  <c r="N37" i="2"/>
  <c r="N15" i="2"/>
  <c r="N77" i="3" l="1"/>
  <c r="N78" i="3"/>
  <c r="N79" i="3"/>
  <c r="N80" i="3"/>
  <c r="N81" i="3"/>
  <c r="N82" i="3"/>
  <c r="N83" i="3"/>
  <c r="N84" i="3"/>
  <c r="D23" i="7" l="1"/>
  <c r="E23" i="7"/>
  <c r="F23" i="7"/>
  <c r="G23" i="7"/>
  <c r="H23" i="7"/>
  <c r="I23" i="7"/>
  <c r="J23" i="7"/>
  <c r="K23" i="7"/>
  <c r="L23" i="7"/>
  <c r="M23" i="7"/>
  <c r="N23" i="7"/>
  <c r="C23" i="7"/>
  <c r="M110" i="3"/>
  <c r="C85" i="3"/>
  <c r="D85" i="3"/>
  <c r="E85" i="3"/>
  <c r="F85" i="3"/>
  <c r="G85" i="3"/>
  <c r="H85" i="3"/>
  <c r="I85" i="3"/>
  <c r="J85" i="3"/>
  <c r="K85" i="3"/>
  <c r="L85" i="3"/>
  <c r="M85" i="3"/>
  <c r="B85" i="3"/>
  <c r="C50" i="3"/>
  <c r="D50" i="3"/>
  <c r="E50" i="3"/>
  <c r="F50" i="3"/>
  <c r="G50" i="3"/>
  <c r="H50" i="3"/>
  <c r="I50" i="3"/>
  <c r="J50" i="3"/>
  <c r="K50" i="3"/>
  <c r="L50" i="3"/>
  <c r="M50" i="3"/>
  <c r="B50" i="3"/>
  <c r="N26" i="3"/>
  <c r="N27" i="3"/>
  <c r="N28" i="3"/>
  <c r="N30" i="3"/>
  <c r="N31" i="3"/>
  <c r="N32" i="3"/>
  <c r="N33" i="3"/>
  <c r="N34" i="3"/>
  <c r="N35" i="3"/>
  <c r="N37" i="3"/>
  <c r="C38" i="3"/>
  <c r="D38" i="3"/>
  <c r="E38" i="3"/>
  <c r="F38" i="3"/>
  <c r="G38" i="3"/>
  <c r="H38" i="3"/>
  <c r="I38" i="3"/>
  <c r="J38" i="3"/>
  <c r="K38" i="3"/>
  <c r="L38" i="3"/>
  <c r="M38" i="3"/>
  <c r="B38" i="3"/>
  <c r="N99" i="2"/>
  <c r="N78" i="2"/>
  <c r="N79" i="2"/>
  <c r="N80" i="2"/>
  <c r="N81" i="2"/>
  <c r="N82" i="2"/>
  <c r="N83" i="2"/>
  <c r="N84" i="2"/>
  <c r="N85" i="2"/>
  <c r="C86" i="2"/>
  <c r="D86" i="2"/>
  <c r="E86" i="2"/>
  <c r="F86" i="2"/>
  <c r="G86" i="2"/>
  <c r="H86" i="2"/>
  <c r="I86" i="2"/>
  <c r="J86" i="2"/>
  <c r="K86" i="2"/>
  <c r="L86" i="2"/>
  <c r="M86" i="2"/>
  <c r="B86" i="2"/>
  <c r="C51" i="2"/>
  <c r="D51" i="2"/>
  <c r="E51" i="2"/>
  <c r="F51" i="2"/>
  <c r="G51" i="2"/>
  <c r="H51" i="2"/>
  <c r="I51" i="2"/>
  <c r="J51" i="2"/>
  <c r="K51" i="2"/>
  <c r="L51" i="2"/>
  <c r="M51" i="2"/>
  <c r="B51" i="2"/>
  <c r="N35" i="2"/>
  <c r="N36" i="2"/>
  <c r="N38" i="2"/>
  <c r="N34" i="2"/>
  <c r="J8" i="3" l="1"/>
  <c r="J112" i="3" l="1"/>
  <c r="J41" i="3"/>
  <c r="D13" i="4" l="1"/>
  <c r="E13" i="4"/>
  <c r="F13" i="4"/>
  <c r="G13" i="4"/>
  <c r="H13" i="4"/>
  <c r="I13" i="4"/>
  <c r="J13" i="4"/>
  <c r="K13" i="4"/>
  <c r="L13" i="4"/>
  <c r="M13" i="4"/>
  <c r="N13" i="4"/>
  <c r="D19" i="3"/>
  <c r="E19" i="3"/>
  <c r="F19" i="3"/>
  <c r="H19" i="3"/>
  <c r="I19" i="3"/>
  <c r="J19" i="3"/>
  <c r="K19" i="3"/>
  <c r="L19" i="3"/>
  <c r="M19" i="3"/>
  <c r="B19" i="3"/>
  <c r="N12" i="3"/>
  <c r="B20" i="2"/>
  <c r="B43" i="2" s="1"/>
  <c r="N13" i="2"/>
  <c r="G42" i="3" l="1"/>
  <c r="B42" i="3"/>
  <c r="M42" i="3"/>
  <c r="E42" i="3"/>
  <c r="J42" i="3"/>
  <c r="J43" i="3" s="1"/>
  <c r="I42" i="3"/>
  <c r="H42" i="3"/>
  <c r="L42" i="3"/>
  <c r="D42" i="3"/>
  <c r="K42" i="3"/>
  <c r="C42" i="3"/>
  <c r="F42" i="3"/>
  <c r="O13" i="4"/>
  <c r="N58" i="3" l="1"/>
  <c r="N59" i="2"/>
  <c r="N18" i="2" l="1"/>
  <c r="F8" i="3" l="1"/>
  <c r="F112" i="3" l="1"/>
  <c r="F41" i="3"/>
  <c r="N98" i="3" l="1"/>
  <c r="O9" i="7"/>
  <c r="O11" i="7"/>
  <c r="O13" i="7"/>
  <c r="O15" i="7"/>
  <c r="D17" i="7" l="1"/>
  <c r="E17" i="7"/>
  <c r="F17" i="7"/>
  <c r="G17" i="7"/>
  <c r="H17" i="7"/>
  <c r="I17" i="7"/>
  <c r="J17" i="7"/>
  <c r="K17" i="7"/>
  <c r="L17" i="7"/>
  <c r="M17" i="7"/>
  <c r="N17" i="7"/>
  <c r="C17" i="7"/>
  <c r="O17" i="7" l="1"/>
  <c r="C74" i="4"/>
  <c r="O74" i="4" s="1"/>
  <c r="N76" i="3"/>
  <c r="N85" i="3" s="1"/>
  <c r="N77" i="2"/>
  <c r="N86" i="2" s="1"/>
  <c r="D84" i="4" l="1"/>
  <c r="E84" i="4"/>
  <c r="F84" i="4"/>
  <c r="G84" i="4"/>
  <c r="H84" i="4"/>
  <c r="I84" i="4"/>
  <c r="J84" i="4"/>
  <c r="K84" i="4"/>
  <c r="L84" i="4"/>
  <c r="M84" i="4"/>
  <c r="N84" i="4"/>
  <c r="D83" i="4"/>
  <c r="E83" i="4"/>
  <c r="F83" i="4"/>
  <c r="G83" i="4"/>
  <c r="H83" i="4"/>
  <c r="I83" i="4"/>
  <c r="J83" i="4"/>
  <c r="K83" i="4"/>
  <c r="L83" i="4"/>
  <c r="M83" i="4"/>
  <c r="N83" i="4"/>
  <c r="D79" i="4"/>
  <c r="E79" i="4"/>
  <c r="F79" i="4"/>
  <c r="G79" i="4"/>
  <c r="H79" i="4"/>
  <c r="I79" i="4"/>
  <c r="J79" i="4"/>
  <c r="K79" i="4"/>
  <c r="L79" i="4"/>
  <c r="M79" i="4"/>
  <c r="N79" i="4"/>
  <c r="D78" i="4"/>
  <c r="E78" i="4"/>
  <c r="F78" i="4"/>
  <c r="G78" i="4"/>
  <c r="H78" i="4"/>
  <c r="I78" i="4"/>
  <c r="J78" i="4"/>
  <c r="K78" i="4"/>
  <c r="L78" i="4"/>
  <c r="M78" i="4"/>
  <c r="N78" i="4"/>
  <c r="D76" i="4"/>
  <c r="E76" i="4"/>
  <c r="F76" i="4"/>
  <c r="G76" i="4"/>
  <c r="H76" i="4"/>
  <c r="I76" i="4"/>
  <c r="J76" i="4"/>
  <c r="K76" i="4"/>
  <c r="L76" i="4"/>
  <c r="M76" i="4"/>
  <c r="N76" i="4"/>
  <c r="D75" i="4"/>
  <c r="E75" i="4"/>
  <c r="F75" i="4"/>
  <c r="G75" i="4"/>
  <c r="H75" i="4"/>
  <c r="I75" i="4"/>
  <c r="J75" i="4"/>
  <c r="K75" i="4"/>
  <c r="L75" i="4"/>
  <c r="M75" i="4"/>
  <c r="N75" i="4"/>
  <c r="D73" i="4"/>
  <c r="E73" i="4"/>
  <c r="F73" i="4"/>
  <c r="G73" i="4"/>
  <c r="H73" i="4"/>
  <c r="I73" i="4"/>
  <c r="J73" i="4"/>
  <c r="K73" i="4"/>
  <c r="L73" i="4"/>
  <c r="M73" i="4"/>
  <c r="N73" i="4"/>
  <c r="D69" i="4"/>
  <c r="E69" i="4"/>
  <c r="F69" i="4"/>
  <c r="G69" i="4"/>
  <c r="H69" i="4"/>
  <c r="I69" i="4"/>
  <c r="J69" i="4"/>
  <c r="K69" i="4"/>
  <c r="L69" i="4"/>
  <c r="M69" i="4"/>
  <c r="N69" i="4"/>
  <c r="D68" i="4"/>
  <c r="E68" i="4"/>
  <c r="F68" i="4"/>
  <c r="G68" i="4"/>
  <c r="H68" i="4"/>
  <c r="I68" i="4"/>
  <c r="J68" i="4"/>
  <c r="K68" i="4"/>
  <c r="L68" i="4"/>
  <c r="M68" i="4"/>
  <c r="N68" i="4"/>
  <c r="D67" i="4"/>
  <c r="E67" i="4"/>
  <c r="F67" i="4"/>
  <c r="G67" i="4"/>
  <c r="H67" i="4"/>
  <c r="I67" i="4"/>
  <c r="J67" i="4"/>
  <c r="K67" i="4"/>
  <c r="L67" i="4"/>
  <c r="M67" i="4"/>
  <c r="N67" i="4"/>
  <c r="D66" i="4"/>
  <c r="E66" i="4"/>
  <c r="F66" i="4"/>
  <c r="G66" i="4"/>
  <c r="H66" i="4"/>
  <c r="I66" i="4"/>
  <c r="J66" i="4"/>
  <c r="K66" i="4"/>
  <c r="L66" i="4"/>
  <c r="M66" i="4"/>
  <c r="N66" i="4"/>
  <c r="D65" i="4"/>
  <c r="E65" i="4"/>
  <c r="F65" i="4"/>
  <c r="G65" i="4"/>
  <c r="H65" i="4"/>
  <c r="I65" i="4"/>
  <c r="J65" i="4"/>
  <c r="K65" i="4"/>
  <c r="L65" i="4"/>
  <c r="M65" i="4"/>
  <c r="N65" i="4"/>
  <c r="D64" i="4"/>
  <c r="E64" i="4"/>
  <c r="F64" i="4"/>
  <c r="G64" i="4"/>
  <c r="H64" i="4"/>
  <c r="I64" i="4"/>
  <c r="J64" i="4"/>
  <c r="K64" i="4"/>
  <c r="L64" i="4"/>
  <c r="M64" i="4"/>
  <c r="N64" i="4"/>
  <c r="D63" i="4"/>
  <c r="E63" i="4"/>
  <c r="F63" i="4"/>
  <c r="G63" i="4"/>
  <c r="H63" i="4"/>
  <c r="I63" i="4"/>
  <c r="J63" i="4"/>
  <c r="K63" i="4"/>
  <c r="L63" i="4"/>
  <c r="M63" i="4"/>
  <c r="N63" i="4"/>
  <c r="D62" i="4"/>
  <c r="E62" i="4"/>
  <c r="F62" i="4"/>
  <c r="G62" i="4"/>
  <c r="H62" i="4"/>
  <c r="I62" i="4"/>
  <c r="J62" i="4"/>
  <c r="K62" i="4"/>
  <c r="L62" i="4"/>
  <c r="M62" i="4"/>
  <c r="N62" i="4"/>
  <c r="D61" i="4"/>
  <c r="E61" i="4"/>
  <c r="F61" i="4"/>
  <c r="G61" i="4"/>
  <c r="H61" i="4"/>
  <c r="I61" i="4"/>
  <c r="J61" i="4"/>
  <c r="K61" i="4"/>
  <c r="L61" i="4"/>
  <c r="M61" i="4"/>
  <c r="N61" i="4"/>
  <c r="D60" i="4"/>
  <c r="E60" i="4"/>
  <c r="F60" i="4"/>
  <c r="G60" i="4"/>
  <c r="H60" i="4"/>
  <c r="I60" i="4"/>
  <c r="J60" i="4"/>
  <c r="K60" i="4"/>
  <c r="L60" i="4"/>
  <c r="M60" i="4"/>
  <c r="N60" i="4"/>
  <c r="D59" i="4"/>
  <c r="E59" i="4"/>
  <c r="F59" i="4"/>
  <c r="G59" i="4"/>
  <c r="H59" i="4"/>
  <c r="I59" i="4"/>
  <c r="J59" i="4"/>
  <c r="K59" i="4"/>
  <c r="L59" i="4"/>
  <c r="M59" i="4"/>
  <c r="N59" i="4"/>
  <c r="D58" i="4"/>
  <c r="E58" i="4"/>
  <c r="F58" i="4"/>
  <c r="G58" i="4"/>
  <c r="H58" i="4"/>
  <c r="I58" i="4"/>
  <c r="J58" i="4"/>
  <c r="K58" i="4"/>
  <c r="L58" i="4"/>
  <c r="M58" i="4"/>
  <c r="N58" i="4"/>
  <c r="D57" i="4"/>
  <c r="E57" i="4"/>
  <c r="F57" i="4"/>
  <c r="G57" i="4"/>
  <c r="H57" i="4"/>
  <c r="I57" i="4"/>
  <c r="J57" i="4"/>
  <c r="K57" i="4"/>
  <c r="L57" i="4"/>
  <c r="M57" i="4"/>
  <c r="N57" i="4"/>
  <c r="D56" i="4"/>
  <c r="E56" i="4"/>
  <c r="F56" i="4"/>
  <c r="G56" i="4"/>
  <c r="H56" i="4"/>
  <c r="I56" i="4"/>
  <c r="J56" i="4"/>
  <c r="K56" i="4"/>
  <c r="L56" i="4"/>
  <c r="M56" i="4"/>
  <c r="N56" i="4"/>
  <c r="D55" i="4"/>
  <c r="E55" i="4"/>
  <c r="F55" i="4"/>
  <c r="G55" i="4"/>
  <c r="H55" i="4"/>
  <c r="I55" i="4"/>
  <c r="J55" i="4"/>
  <c r="K55" i="4"/>
  <c r="L55" i="4"/>
  <c r="M55" i="4"/>
  <c r="N55" i="4"/>
  <c r="D54" i="4"/>
  <c r="E54" i="4"/>
  <c r="F54" i="4"/>
  <c r="G54" i="4"/>
  <c r="H54" i="4"/>
  <c r="I54" i="4"/>
  <c r="J54" i="4"/>
  <c r="K54" i="4"/>
  <c r="L54" i="4"/>
  <c r="M54" i="4"/>
  <c r="N54" i="4"/>
  <c r="D53" i="4"/>
  <c r="E53" i="4"/>
  <c r="F53" i="4"/>
  <c r="G53" i="4"/>
  <c r="H53" i="4"/>
  <c r="I53" i="4"/>
  <c r="J53" i="4"/>
  <c r="K53" i="4"/>
  <c r="L53" i="4"/>
  <c r="M53" i="4"/>
  <c r="N53" i="4"/>
  <c r="D52" i="4"/>
  <c r="E52" i="4"/>
  <c r="F52" i="4"/>
  <c r="G52" i="4"/>
  <c r="H52" i="4"/>
  <c r="I52" i="4"/>
  <c r="J52" i="4"/>
  <c r="K52" i="4"/>
  <c r="L52" i="4"/>
  <c r="M52" i="4"/>
  <c r="N52" i="4"/>
  <c r="D48" i="4"/>
  <c r="E48" i="4"/>
  <c r="F48" i="4"/>
  <c r="G48" i="4"/>
  <c r="H48" i="4"/>
  <c r="I48" i="4"/>
  <c r="J48" i="4"/>
  <c r="K48" i="4"/>
  <c r="L48" i="4"/>
  <c r="M48" i="4"/>
  <c r="N48" i="4"/>
  <c r="D47" i="4"/>
  <c r="E47" i="4"/>
  <c r="F47" i="4"/>
  <c r="N47" i="4"/>
  <c r="D46" i="4"/>
  <c r="E46" i="4"/>
  <c r="F46" i="4"/>
  <c r="G46" i="4"/>
  <c r="H46" i="4"/>
  <c r="I46" i="4"/>
  <c r="J46" i="4"/>
  <c r="K46" i="4"/>
  <c r="L46" i="4"/>
  <c r="M46" i="4"/>
  <c r="D45" i="4"/>
  <c r="E45" i="4"/>
  <c r="F45" i="4"/>
  <c r="G45" i="4"/>
  <c r="H45" i="4"/>
  <c r="I45" i="4"/>
  <c r="J45" i="4"/>
  <c r="K45" i="4"/>
  <c r="L45" i="4"/>
  <c r="M45" i="4"/>
  <c r="D44" i="4"/>
  <c r="E44" i="4"/>
  <c r="F44" i="4"/>
  <c r="G44" i="4"/>
  <c r="H44" i="4"/>
  <c r="I44" i="4"/>
  <c r="J44" i="4"/>
  <c r="K44" i="4"/>
  <c r="L44" i="4"/>
  <c r="M44" i="4"/>
  <c r="D43" i="4"/>
  <c r="E43" i="4"/>
  <c r="F43" i="4"/>
  <c r="G43" i="4"/>
  <c r="H43" i="4"/>
  <c r="I43" i="4"/>
  <c r="J43" i="4"/>
  <c r="K43" i="4"/>
  <c r="L43" i="4"/>
  <c r="M43" i="4"/>
  <c r="D42" i="4"/>
  <c r="E42" i="4"/>
  <c r="F42" i="4"/>
  <c r="G42" i="4"/>
  <c r="H42" i="4"/>
  <c r="I42" i="4"/>
  <c r="J42" i="4"/>
  <c r="K42" i="4"/>
  <c r="L42" i="4"/>
  <c r="M42" i="4"/>
  <c r="N42" i="4"/>
  <c r="D41" i="4"/>
  <c r="E41" i="4"/>
  <c r="F41" i="4"/>
  <c r="G41" i="4"/>
  <c r="H41" i="4"/>
  <c r="I41" i="4"/>
  <c r="J41" i="4"/>
  <c r="K41" i="4"/>
  <c r="L41" i="4"/>
  <c r="M41" i="4"/>
  <c r="N40" i="4"/>
  <c r="D30" i="4"/>
  <c r="E30" i="4"/>
  <c r="F30" i="4"/>
  <c r="G30" i="4"/>
  <c r="H30" i="4"/>
  <c r="I30" i="4"/>
  <c r="J30" i="4"/>
  <c r="K30" i="4"/>
  <c r="L30" i="4"/>
  <c r="M30" i="4"/>
  <c r="N30" i="4"/>
  <c r="D29" i="4"/>
  <c r="E29" i="4"/>
  <c r="F29" i="4"/>
  <c r="G29" i="4"/>
  <c r="H29" i="4"/>
  <c r="I29" i="4"/>
  <c r="J29" i="4"/>
  <c r="K29" i="4"/>
  <c r="L29" i="4"/>
  <c r="M29" i="4"/>
  <c r="N29" i="4"/>
  <c r="D28" i="4"/>
  <c r="E28" i="4"/>
  <c r="F28" i="4"/>
  <c r="G28" i="4"/>
  <c r="H28" i="4"/>
  <c r="I28" i="4"/>
  <c r="J28" i="4"/>
  <c r="K28" i="4"/>
  <c r="L28" i="4"/>
  <c r="M28" i="4"/>
  <c r="N28" i="4"/>
  <c r="D27" i="4"/>
  <c r="E27" i="4"/>
  <c r="F27" i="4"/>
  <c r="G27" i="4"/>
  <c r="H27" i="4"/>
  <c r="I27" i="4"/>
  <c r="J27" i="4"/>
  <c r="K27" i="4"/>
  <c r="L27" i="4"/>
  <c r="M27" i="4"/>
  <c r="N27" i="4"/>
  <c r="D26" i="4"/>
  <c r="E26" i="4"/>
  <c r="F26" i="4"/>
  <c r="G26" i="4"/>
  <c r="H26" i="4"/>
  <c r="I26" i="4"/>
  <c r="J26" i="4"/>
  <c r="K26" i="4"/>
  <c r="L26" i="4"/>
  <c r="M26" i="4"/>
  <c r="N26" i="4"/>
  <c r="D24" i="4"/>
  <c r="E24" i="4"/>
  <c r="F24" i="4"/>
  <c r="G24" i="4"/>
  <c r="H24" i="4"/>
  <c r="I24" i="4"/>
  <c r="J24" i="4"/>
  <c r="K24" i="4"/>
  <c r="L24" i="4"/>
  <c r="M24" i="4"/>
  <c r="N24" i="4"/>
  <c r="D17" i="4"/>
  <c r="E17" i="4"/>
  <c r="F17" i="4"/>
  <c r="G17" i="4"/>
  <c r="H17" i="4"/>
  <c r="I17" i="4"/>
  <c r="J17" i="4"/>
  <c r="K17" i="4"/>
  <c r="L17" i="4"/>
  <c r="M17" i="4"/>
  <c r="N17" i="4"/>
  <c r="D16" i="4"/>
  <c r="E16" i="4"/>
  <c r="F16" i="4"/>
  <c r="G16" i="4"/>
  <c r="H16" i="4"/>
  <c r="I16" i="4"/>
  <c r="J16" i="4"/>
  <c r="K16" i="4"/>
  <c r="L16" i="4"/>
  <c r="M16" i="4"/>
  <c r="N16" i="4"/>
  <c r="D15" i="4"/>
  <c r="E15" i="4"/>
  <c r="F15" i="4"/>
  <c r="G15" i="4"/>
  <c r="H15" i="4"/>
  <c r="I15" i="4"/>
  <c r="J15" i="4"/>
  <c r="K15" i="4"/>
  <c r="L15" i="4"/>
  <c r="M15" i="4"/>
  <c r="N15" i="4"/>
  <c r="D14" i="4"/>
  <c r="E14" i="4"/>
  <c r="F14" i="4"/>
  <c r="G14" i="4"/>
  <c r="H14" i="4"/>
  <c r="I14" i="4"/>
  <c r="J14" i="4"/>
  <c r="K14" i="4"/>
  <c r="L14" i="4"/>
  <c r="M14" i="4"/>
  <c r="N14" i="4"/>
  <c r="D12" i="4"/>
  <c r="E12" i="4"/>
  <c r="F12" i="4"/>
  <c r="G12" i="4"/>
  <c r="H12" i="4"/>
  <c r="I12" i="4"/>
  <c r="J12" i="4"/>
  <c r="K12" i="4"/>
  <c r="L12" i="4"/>
  <c r="M12" i="4"/>
  <c r="N12" i="4"/>
  <c r="D7" i="4"/>
  <c r="E7" i="4"/>
  <c r="F7" i="4"/>
  <c r="G7" i="4"/>
  <c r="H7" i="4"/>
  <c r="I7" i="4"/>
  <c r="J7" i="4"/>
  <c r="K7" i="4"/>
  <c r="L7" i="4"/>
  <c r="M7" i="4"/>
  <c r="N7" i="4"/>
  <c r="N49" i="4" l="1"/>
  <c r="G49" i="4"/>
  <c r="E49" i="4"/>
  <c r="I49" i="4"/>
  <c r="H49" i="4"/>
  <c r="L49" i="4"/>
  <c r="K49" i="4"/>
  <c r="F49" i="4"/>
  <c r="M49" i="4"/>
  <c r="D49" i="4"/>
  <c r="J49" i="4"/>
  <c r="N18" i="4"/>
  <c r="J18" i="4"/>
  <c r="E18" i="4"/>
  <c r="M18" i="4"/>
  <c r="I18" i="4"/>
  <c r="L18" i="4"/>
  <c r="H18" i="4"/>
  <c r="K18" i="4"/>
  <c r="G18" i="4"/>
  <c r="F18" i="4"/>
  <c r="D18" i="4"/>
  <c r="C83" i="4"/>
  <c r="C84" i="4"/>
  <c r="C73" i="4"/>
  <c r="C75" i="4"/>
  <c r="C76" i="4"/>
  <c r="C78" i="4"/>
  <c r="C79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49" i="4" l="1"/>
  <c r="C18" i="4"/>
  <c r="C35" i="4" s="1"/>
  <c r="N100" i="4"/>
  <c r="M100" i="4"/>
  <c r="L100" i="4"/>
  <c r="K100" i="4"/>
  <c r="J100" i="4"/>
  <c r="I100" i="4"/>
  <c r="H100" i="4"/>
  <c r="G100" i="4"/>
  <c r="F100" i="4"/>
  <c r="E100" i="4"/>
  <c r="D100" i="4"/>
  <c r="C100" i="4"/>
  <c r="N99" i="4"/>
  <c r="M99" i="4"/>
  <c r="L99" i="4"/>
  <c r="K99" i="4"/>
  <c r="J99" i="4"/>
  <c r="I99" i="4"/>
  <c r="H99" i="4"/>
  <c r="G99" i="4"/>
  <c r="F99" i="4"/>
  <c r="E99" i="4"/>
  <c r="D99" i="4"/>
  <c r="C99" i="4"/>
  <c r="N98" i="4"/>
  <c r="M98" i="4"/>
  <c r="L98" i="4"/>
  <c r="K98" i="4"/>
  <c r="J98" i="4"/>
  <c r="I98" i="4"/>
  <c r="H98" i="4"/>
  <c r="G98" i="4"/>
  <c r="F98" i="4"/>
  <c r="E98" i="4"/>
  <c r="D98" i="4"/>
  <c r="C98" i="4"/>
  <c r="N97" i="4"/>
  <c r="M97" i="4"/>
  <c r="L97" i="4"/>
  <c r="K97" i="4"/>
  <c r="J97" i="4"/>
  <c r="I97" i="4"/>
  <c r="H97" i="4"/>
  <c r="G97" i="4"/>
  <c r="F97" i="4"/>
  <c r="E97" i="4"/>
  <c r="D97" i="4"/>
  <c r="C97" i="4"/>
  <c r="N85" i="4"/>
  <c r="M85" i="4"/>
  <c r="L85" i="4"/>
  <c r="K85" i="4"/>
  <c r="J85" i="4"/>
  <c r="I85" i="4"/>
  <c r="H85" i="4"/>
  <c r="G85" i="4"/>
  <c r="F85" i="4"/>
  <c r="E85" i="4"/>
  <c r="D85" i="4"/>
  <c r="C85" i="4"/>
  <c r="O84" i="4"/>
  <c r="O83" i="4"/>
  <c r="N80" i="4"/>
  <c r="M80" i="4"/>
  <c r="L80" i="4"/>
  <c r="K80" i="4"/>
  <c r="J80" i="4"/>
  <c r="I80" i="4"/>
  <c r="H80" i="4"/>
  <c r="G80" i="4"/>
  <c r="F80" i="4"/>
  <c r="E80" i="4"/>
  <c r="D80" i="4"/>
  <c r="C80" i="4"/>
  <c r="O79" i="4"/>
  <c r="O78" i="4"/>
  <c r="O77" i="4"/>
  <c r="O76" i="4"/>
  <c r="O75" i="4"/>
  <c r="O73" i="4"/>
  <c r="N70" i="4"/>
  <c r="M70" i="4"/>
  <c r="L70" i="4"/>
  <c r="K70" i="4"/>
  <c r="J70" i="4"/>
  <c r="I70" i="4"/>
  <c r="H70" i="4"/>
  <c r="G70" i="4"/>
  <c r="F70" i="4"/>
  <c r="E70" i="4"/>
  <c r="D70" i="4"/>
  <c r="C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48" i="4"/>
  <c r="O46" i="4"/>
  <c r="O45" i="4"/>
  <c r="O44" i="4"/>
  <c r="O43" i="4"/>
  <c r="O42" i="4"/>
  <c r="O41" i="4"/>
  <c r="O40" i="4"/>
  <c r="N31" i="4"/>
  <c r="M31" i="4"/>
  <c r="L31" i="4"/>
  <c r="K31" i="4"/>
  <c r="J31" i="4"/>
  <c r="I31" i="4"/>
  <c r="H31" i="4"/>
  <c r="G31" i="4"/>
  <c r="F31" i="4"/>
  <c r="E31" i="4"/>
  <c r="D31" i="4"/>
  <c r="C31" i="4"/>
  <c r="O30" i="4"/>
  <c r="O29" i="4"/>
  <c r="O28" i="4"/>
  <c r="O27" i="4"/>
  <c r="O26" i="4"/>
  <c r="O25" i="4"/>
  <c r="O24" i="4"/>
  <c r="N35" i="4"/>
  <c r="M35" i="4"/>
  <c r="L35" i="4"/>
  <c r="K35" i="4"/>
  <c r="I35" i="4"/>
  <c r="H35" i="4"/>
  <c r="G35" i="4"/>
  <c r="F35" i="4"/>
  <c r="E35" i="4"/>
  <c r="D35" i="4"/>
  <c r="O17" i="4"/>
  <c r="O16" i="4"/>
  <c r="O15" i="4"/>
  <c r="O14" i="4"/>
  <c r="O12" i="4"/>
  <c r="N9" i="4"/>
  <c r="N101" i="4" s="1"/>
  <c r="M9" i="4"/>
  <c r="M101" i="4" s="1"/>
  <c r="L9" i="4"/>
  <c r="L101" i="4" s="1"/>
  <c r="K9" i="4"/>
  <c r="K34" i="4" s="1"/>
  <c r="J9" i="4"/>
  <c r="J34" i="4" s="1"/>
  <c r="I9" i="4"/>
  <c r="I101" i="4" s="1"/>
  <c r="H9" i="4"/>
  <c r="H34" i="4" s="1"/>
  <c r="G9" i="4"/>
  <c r="G34" i="4" s="1"/>
  <c r="F9" i="4"/>
  <c r="F101" i="4" s="1"/>
  <c r="E9" i="4"/>
  <c r="E101" i="4" s="1"/>
  <c r="D9" i="4"/>
  <c r="D101" i="4" s="1"/>
  <c r="C9" i="4"/>
  <c r="C34" i="4" s="1"/>
  <c r="O8" i="4"/>
  <c r="O7" i="4"/>
  <c r="O9" i="4" l="1"/>
  <c r="F88" i="4"/>
  <c r="N88" i="4"/>
  <c r="G88" i="4"/>
  <c r="H88" i="4"/>
  <c r="J88" i="4"/>
  <c r="L88" i="4"/>
  <c r="K88" i="4"/>
  <c r="D88" i="4"/>
  <c r="E88" i="4"/>
  <c r="M88" i="4"/>
  <c r="I88" i="4"/>
  <c r="G36" i="4"/>
  <c r="M21" i="4"/>
  <c r="H36" i="4"/>
  <c r="K36" i="4"/>
  <c r="I21" i="4"/>
  <c r="J21" i="4"/>
  <c r="I34" i="4"/>
  <c r="I36" i="4" s="1"/>
  <c r="E34" i="4"/>
  <c r="E36" i="4" s="1"/>
  <c r="E21" i="4"/>
  <c r="M34" i="4"/>
  <c r="M36" i="4" s="1"/>
  <c r="O85" i="4"/>
  <c r="O80" i="4"/>
  <c r="O70" i="4"/>
  <c r="C88" i="4"/>
  <c r="O31" i="4"/>
  <c r="C36" i="4"/>
  <c r="O18" i="4"/>
  <c r="D21" i="4"/>
  <c r="L21" i="4"/>
  <c r="D34" i="4"/>
  <c r="D36" i="4" s="1"/>
  <c r="L34" i="4"/>
  <c r="L36" i="4" s="1"/>
  <c r="G101" i="4"/>
  <c r="F21" i="4"/>
  <c r="F34" i="4"/>
  <c r="F36" i="4" s="1"/>
  <c r="N34" i="4"/>
  <c r="N36" i="4" s="1"/>
  <c r="J35" i="4"/>
  <c r="J36" i="4" s="1"/>
  <c r="N21" i="4"/>
  <c r="G21" i="4"/>
  <c r="J101" i="4"/>
  <c r="H101" i="4"/>
  <c r="H21" i="4"/>
  <c r="C101" i="4"/>
  <c r="K101" i="4"/>
  <c r="C21" i="4"/>
  <c r="K21" i="4"/>
  <c r="G47" i="4"/>
  <c r="H47" i="4"/>
  <c r="I47" i="4"/>
  <c r="J47" i="4"/>
  <c r="K47" i="4"/>
  <c r="L47" i="4"/>
  <c r="M47" i="4"/>
  <c r="N48" i="3"/>
  <c r="N59" i="3"/>
  <c r="N60" i="2"/>
  <c r="N92" i="4" l="1"/>
  <c r="N94" i="4" s="1"/>
  <c r="F92" i="4"/>
  <c r="F94" i="4" s="1"/>
  <c r="O47" i="4"/>
  <c r="O49" i="4" s="1"/>
  <c r="O88" i="4" s="1"/>
  <c r="N49" i="2"/>
  <c r="J92" i="4"/>
  <c r="J94" i="4" s="1"/>
  <c r="H92" i="4"/>
  <c r="H94" i="4" s="1"/>
  <c r="G92" i="4"/>
  <c r="G94" i="4" s="1"/>
  <c r="L92" i="4"/>
  <c r="L94" i="4" s="1"/>
  <c r="D92" i="4"/>
  <c r="D94" i="4" s="1"/>
  <c r="G89" i="4"/>
  <c r="K92" i="4"/>
  <c r="K94" i="4" s="1"/>
  <c r="M92" i="4"/>
  <c r="M94" i="4" s="1"/>
  <c r="E92" i="4"/>
  <c r="E94" i="4" s="1"/>
  <c r="I92" i="4"/>
  <c r="I94" i="4" s="1"/>
  <c r="H89" i="4"/>
  <c r="M89" i="4"/>
  <c r="L89" i="4"/>
  <c r="I89" i="4"/>
  <c r="J89" i="4"/>
  <c r="K89" i="4"/>
  <c r="D89" i="4"/>
  <c r="E89" i="4"/>
  <c r="N89" i="4"/>
  <c r="F89" i="4"/>
  <c r="C92" i="4"/>
  <c r="C94" i="4" s="1"/>
  <c r="C89" i="4"/>
  <c r="L110" i="3"/>
  <c r="K110" i="3"/>
  <c r="J110" i="3"/>
  <c r="I110" i="3"/>
  <c r="H110" i="3"/>
  <c r="G110" i="3"/>
  <c r="F110" i="3"/>
  <c r="E110" i="3"/>
  <c r="D110" i="3"/>
  <c r="C110" i="3"/>
  <c r="B110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N109" i="3" s="1"/>
  <c r="B108" i="3"/>
  <c r="N107" i="3"/>
  <c r="M90" i="3"/>
  <c r="L90" i="3"/>
  <c r="K90" i="3"/>
  <c r="J90" i="3"/>
  <c r="I90" i="3"/>
  <c r="H90" i="3"/>
  <c r="G90" i="3"/>
  <c r="F90" i="3"/>
  <c r="E90" i="3"/>
  <c r="D90" i="3"/>
  <c r="C90" i="3"/>
  <c r="B90" i="3"/>
  <c r="N89" i="3"/>
  <c r="N88" i="3"/>
  <c r="N75" i="3"/>
  <c r="M72" i="3"/>
  <c r="L72" i="3"/>
  <c r="K72" i="3"/>
  <c r="J72" i="3"/>
  <c r="I72" i="3"/>
  <c r="H72" i="3"/>
  <c r="G72" i="3"/>
  <c r="F72" i="3"/>
  <c r="E72" i="3"/>
  <c r="D72" i="3"/>
  <c r="C72" i="3"/>
  <c r="B72" i="3"/>
  <c r="N71" i="3"/>
  <c r="N70" i="3"/>
  <c r="N69" i="3"/>
  <c r="N68" i="3"/>
  <c r="N67" i="3"/>
  <c r="N66" i="3"/>
  <c r="N65" i="3"/>
  <c r="N64" i="3"/>
  <c r="N63" i="3"/>
  <c r="N62" i="3"/>
  <c r="N61" i="3"/>
  <c r="N60" i="3"/>
  <c r="N57" i="3"/>
  <c r="N56" i="3"/>
  <c r="N55" i="3"/>
  <c r="N54" i="3"/>
  <c r="N53" i="3"/>
  <c r="N49" i="3"/>
  <c r="N47" i="3"/>
  <c r="N10" i="7"/>
  <c r="M10" i="7"/>
  <c r="L10" i="7"/>
  <c r="K10" i="7"/>
  <c r="J10" i="7"/>
  <c r="I10" i="7"/>
  <c r="H10" i="7"/>
  <c r="G10" i="7"/>
  <c r="F10" i="7"/>
  <c r="E10" i="7"/>
  <c r="D10" i="7"/>
  <c r="C10" i="7"/>
  <c r="N25" i="3"/>
  <c r="F7" i="7"/>
  <c r="N18" i="3"/>
  <c r="N17" i="3"/>
  <c r="N16" i="3"/>
  <c r="N13" i="3"/>
  <c r="N11" i="3"/>
  <c r="O23" i="7" s="1"/>
  <c r="M8" i="3"/>
  <c r="L8" i="3"/>
  <c r="K8" i="3"/>
  <c r="I8" i="3"/>
  <c r="H8" i="3"/>
  <c r="G8" i="3"/>
  <c r="E8" i="3"/>
  <c r="D8" i="3"/>
  <c r="C8" i="3"/>
  <c r="C22" i="3" s="1"/>
  <c r="B8" i="3"/>
  <c r="N7" i="3"/>
  <c r="N6" i="3"/>
  <c r="H93" i="3" l="1"/>
  <c r="K112" i="3"/>
  <c r="I93" i="3"/>
  <c r="K93" i="3"/>
  <c r="B93" i="3"/>
  <c r="L93" i="3"/>
  <c r="I112" i="3"/>
  <c r="M112" i="3"/>
  <c r="L112" i="3"/>
  <c r="C112" i="3"/>
  <c r="M93" i="3"/>
  <c r="F93" i="3"/>
  <c r="J93" i="3"/>
  <c r="K14" i="7" s="1"/>
  <c r="G112" i="3"/>
  <c r="H112" i="3"/>
  <c r="G93" i="3"/>
  <c r="E93" i="3"/>
  <c r="E112" i="3"/>
  <c r="D93" i="3"/>
  <c r="D112" i="3"/>
  <c r="C93" i="3"/>
  <c r="N110" i="3"/>
  <c r="N108" i="3"/>
  <c r="C41" i="3"/>
  <c r="H41" i="3"/>
  <c r="H43" i="3" s="1"/>
  <c r="L41" i="3"/>
  <c r="L43" i="3" s="1"/>
  <c r="D41" i="3"/>
  <c r="E41" i="3"/>
  <c r="G41" i="3"/>
  <c r="G43" i="3" s="1"/>
  <c r="I41" i="3"/>
  <c r="I43" i="3" s="1"/>
  <c r="K41" i="3"/>
  <c r="K43" i="3" s="1"/>
  <c r="B41" i="3"/>
  <c r="B112" i="3"/>
  <c r="M41" i="3"/>
  <c r="M43" i="3" s="1"/>
  <c r="N90" i="3"/>
  <c r="O10" i="7"/>
  <c r="N8" i="3"/>
  <c r="G7" i="7"/>
  <c r="I6" i="7"/>
  <c r="H7" i="7"/>
  <c r="J6" i="7"/>
  <c r="I7" i="7"/>
  <c r="C6" i="7"/>
  <c r="L6" i="7"/>
  <c r="E6" i="7"/>
  <c r="M6" i="7"/>
  <c r="D7" i="7"/>
  <c r="L7" i="7"/>
  <c r="K6" i="7"/>
  <c r="D6" i="7"/>
  <c r="K7" i="7"/>
  <c r="N6" i="7"/>
  <c r="M7" i="7"/>
  <c r="H6" i="7"/>
  <c r="J7" i="7"/>
  <c r="C7" i="7"/>
  <c r="F6" i="7"/>
  <c r="G6" i="7"/>
  <c r="N7" i="7"/>
  <c r="E7" i="7"/>
  <c r="N72" i="3"/>
  <c r="N38" i="3"/>
  <c r="N19" i="3"/>
  <c r="N50" i="3"/>
  <c r="D22" i="3"/>
  <c r="K22" i="3"/>
  <c r="L22" i="3"/>
  <c r="I22" i="3"/>
  <c r="J22" i="3"/>
  <c r="B22" i="3"/>
  <c r="E22" i="3"/>
  <c r="M22" i="3"/>
  <c r="F22" i="3"/>
  <c r="G22" i="3"/>
  <c r="H22" i="3"/>
  <c r="C73" i="2"/>
  <c r="D73" i="2"/>
  <c r="E73" i="2"/>
  <c r="F73" i="2"/>
  <c r="G73" i="2"/>
  <c r="H73" i="2"/>
  <c r="I73" i="2"/>
  <c r="J73" i="2"/>
  <c r="K73" i="2"/>
  <c r="L73" i="2"/>
  <c r="M73" i="2"/>
  <c r="C9" i="2"/>
  <c r="D9" i="2"/>
  <c r="E9" i="2"/>
  <c r="F9" i="2"/>
  <c r="G9" i="2"/>
  <c r="H9" i="2"/>
  <c r="I9" i="2"/>
  <c r="J9" i="2"/>
  <c r="K9" i="2"/>
  <c r="L9" i="2"/>
  <c r="M9" i="2"/>
  <c r="I14" i="7" l="1"/>
  <c r="C14" i="7"/>
  <c r="M14" i="7"/>
  <c r="H14" i="7"/>
  <c r="D42" i="2"/>
  <c r="D44" i="2" s="1"/>
  <c r="D108" i="2"/>
  <c r="C108" i="2"/>
  <c r="C42" i="2"/>
  <c r="C44" i="2" s="1"/>
  <c r="L14" i="7"/>
  <c r="J14" i="7"/>
  <c r="I42" i="2"/>
  <c r="I44" i="2" s="1"/>
  <c r="I108" i="2"/>
  <c r="H42" i="2"/>
  <c r="H44" i="2" s="1"/>
  <c r="H108" i="2"/>
  <c r="G14" i="7"/>
  <c r="L42" i="2"/>
  <c r="L44" i="2" s="1"/>
  <c r="L108" i="2"/>
  <c r="J108" i="2"/>
  <c r="J42" i="2"/>
  <c r="J44" i="2" s="1"/>
  <c r="J97" i="3"/>
  <c r="J99" i="3" s="1"/>
  <c r="K108" i="2"/>
  <c r="K42" i="2"/>
  <c r="K44" i="2" s="1"/>
  <c r="G42" i="2"/>
  <c r="G44" i="2" s="1"/>
  <c r="G108" i="2"/>
  <c r="F42" i="2"/>
  <c r="F44" i="2" s="1"/>
  <c r="F108" i="2"/>
  <c r="M42" i="2"/>
  <c r="M44" i="2" s="1"/>
  <c r="M108" i="2"/>
  <c r="E42" i="2"/>
  <c r="E44" i="2" s="1"/>
  <c r="E108" i="2"/>
  <c r="N14" i="7"/>
  <c r="F14" i="7"/>
  <c r="E14" i="7"/>
  <c r="D14" i="7"/>
  <c r="G26" i="7"/>
  <c r="M97" i="3"/>
  <c r="M99" i="3" s="1"/>
  <c r="L97" i="3"/>
  <c r="L99" i="3" s="1"/>
  <c r="K97" i="3"/>
  <c r="K99" i="3" s="1"/>
  <c r="I97" i="3"/>
  <c r="I99" i="3" s="1"/>
  <c r="H97" i="3"/>
  <c r="H99" i="3" s="1"/>
  <c r="G97" i="3"/>
  <c r="G99" i="3" s="1"/>
  <c r="F97" i="3"/>
  <c r="F99" i="3" s="1"/>
  <c r="E97" i="3"/>
  <c r="E99" i="3" s="1"/>
  <c r="D97" i="3"/>
  <c r="D99" i="3" s="1"/>
  <c r="C97" i="3"/>
  <c r="C99" i="3" s="1"/>
  <c r="D12" i="7"/>
  <c r="F8" i="7"/>
  <c r="I8" i="7"/>
  <c r="K8" i="7"/>
  <c r="H8" i="7"/>
  <c r="J8" i="7"/>
  <c r="M8" i="7"/>
  <c r="L8" i="7"/>
  <c r="N8" i="7"/>
  <c r="C8" i="7"/>
  <c r="E8" i="7"/>
  <c r="D8" i="7"/>
  <c r="K12" i="7"/>
  <c r="I12" i="7"/>
  <c r="L12" i="7"/>
  <c r="G8" i="7"/>
  <c r="N22" i="3"/>
  <c r="O6" i="7"/>
  <c r="O7" i="7"/>
  <c r="G12" i="7"/>
  <c r="N42" i="3"/>
  <c r="N112" i="3"/>
  <c r="N41" i="3"/>
  <c r="N12" i="7"/>
  <c r="J12" i="7"/>
  <c r="M12" i="7"/>
  <c r="E12" i="7"/>
  <c r="H12" i="7"/>
  <c r="B43" i="3"/>
  <c r="C12" i="7" s="1"/>
  <c r="E23" i="2"/>
  <c r="D23" i="2"/>
  <c r="C94" i="3"/>
  <c r="N93" i="3"/>
  <c r="F94" i="3"/>
  <c r="D94" i="3"/>
  <c r="B94" i="3"/>
  <c r="E94" i="3"/>
  <c r="H94" i="3"/>
  <c r="M94" i="3"/>
  <c r="J94" i="3"/>
  <c r="I94" i="3"/>
  <c r="L94" i="3"/>
  <c r="G94" i="3"/>
  <c r="K94" i="3"/>
  <c r="K23" i="2"/>
  <c r="C23" i="2"/>
  <c r="M23" i="2"/>
  <c r="L23" i="2"/>
  <c r="G23" i="2"/>
  <c r="F23" i="2"/>
  <c r="J23" i="2"/>
  <c r="I23" i="2"/>
  <c r="H23" i="2"/>
  <c r="K104" i="3" l="1"/>
  <c r="K103" i="3"/>
  <c r="E103" i="3"/>
  <c r="E104" i="3"/>
  <c r="I104" i="3"/>
  <c r="I103" i="3"/>
  <c r="J104" i="3"/>
  <c r="J103" i="3"/>
  <c r="G104" i="3"/>
  <c r="G103" i="3"/>
  <c r="F104" i="3"/>
  <c r="F103" i="3"/>
  <c r="C103" i="3"/>
  <c r="C104" i="3"/>
  <c r="D103" i="3"/>
  <c r="D104" i="3"/>
  <c r="H104" i="3"/>
  <c r="H103" i="3"/>
  <c r="M103" i="3"/>
  <c r="M104" i="3"/>
  <c r="L104" i="3"/>
  <c r="L103" i="3"/>
  <c r="E102" i="3"/>
  <c r="E101" i="3"/>
  <c r="E100" i="3"/>
  <c r="I101" i="3"/>
  <c r="I100" i="3"/>
  <c r="I102" i="3"/>
  <c r="C102" i="3"/>
  <c r="C100" i="3"/>
  <c r="C101" i="3"/>
  <c r="G100" i="3"/>
  <c r="G101" i="3"/>
  <c r="G102" i="3"/>
  <c r="L100" i="3"/>
  <c r="L101" i="3"/>
  <c r="L102" i="3"/>
  <c r="D102" i="3"/>
  <c r="D100" i="3"/>
  <c r="D101" i="3"/>
  <c r="H101" i="3"/>
  <c r="H100" i="3"/>
  <c r="H102" i="3"/>
  <c r="M102" i="3"/>
  <c r="M100" i="3"/>
  <c r="M101" i="3"/>
  <c r="K102" i="3"/>
  <c r="K100" i="3"/>
  <c r="K101" i="3"/>
  <c r="J101" i="3"/>
  <c r="J102" i="3"/>
  <c r="J100" i="3"/>
  <c r="F102" i="3"/>
  <c r="F101" i="3"/>
  <c r="F100" i="3"/>
  <c r="I22" i="7"/>
  <c r="O14" i="7"/>
  <c r="K18" i="7"/>
  <c r="N18" i="7"/>
  <c r="L18" i="7"/>
  <c r="J18" i="7"/>
  <c r="I18" i="7"/>
  <c r="D18" i="7"/>
  <c r="C22" i="7"/>
  <c r="G22" i="7"/>
  <c r="K22" i="7"/>
  <c r="E22" i="7"/>
  <c r="H22" i="7"/>
  <c r="M22" i="7"/>
  <c r="G29" i="7"/>
  <c r="G28" i="7"/>
  <c r="G27" i="7"/>
  <c r="C28" i="7"/>
  <c r="C27" i="7"/>
  <c r="J22" i="7"/>
  <c r="D22" i="7"/>
  <c r="L22" i="7"/>
  <c r="N22" i="7"/>
  <c r="O8" i="7"/>
  <c r="C29" i="7"/>
  <c r="C26" i="7"/>
  <c r="N43" i="3"/>
  <c r="F12" i="7"/>
  <c r="B97" i="3"/>
  <c r="B99" i="3" s="1"/>
  <c r="D16" i="7"/>
  <c r="C103" i="2"/>
  <c r="D103" i="2"/>
  <c r="E103" i="2"/>
  <c r="F103" i="2"/>
  <c r="G103" i="2"/>
  <c r="H103" i="2"/>
  <c r="I103" i="2"/>
  <c r="J103" i="2"/>
  <c r="K103" i="2"/>
  <c r="L103" i="2"/>
  <c r="M103" i="2"/>
  <c r="G105" i="2"/>
  <c r="B106" i="2"/>
  <c r="C106" i="2"/>
  <c r="D106" i="2"/>
  <c r="E106" i="2"/>
  <c r="F106" i="2"/>
  <c r="G106" i="2"/>
  <c r="H106" i="2"/>
  <c r="I106" i="2"/>
  <c r="J106" i="2"/>
  <c r="K106" i="2"/>
  <c r="L106" i="2"/>
  <c r="M106" i="2"/>
  <c r="D20" i="7" l="1"/>
  <c r="D21" i="7"/>
  <c r="B103" i="3"/>
  <c r="B104" i="3"/>
  <c r="B102" i="3"/>
  <c r="B101" i="3"/>
  <c r="N101" i="3" s="1"/>
  <c r="B100" i="3"/>
  <c r="C18" i="7"/>
  <c r="O12" i="7"/>
  <c r="O22" i="7" s="1"/>
  <c r="F22" i="7"/>
  <c r="N106" i="2"/>
  <c r="N103" i="2"/>
  <c r="N16" i="7"/>
  <c r="L16" i="7"/>
  <c r="K16" i="7"/>
  <c r="I16" i="7"/>
  <c r="E16" i="7"/>
  <c r="E18" i="7"/>
  <c r="M16" i="7"/>
  <c r="M18" i="7"/>
  <c r="J16" i="7"/>
  <c r="G18" i="7"/>
  <c r="H18" i="7"/>
  <c r="H16" i="7"/>
  <c r="G16" i="7"/>
  <c r="N97" i="3"/>
  <c r="F16" i="7"/>
  <c r="F18" i="7"/>
  <c r="C16" i="7"/>
  <c r="F104" i="2"/>
  <c r="F105" i="2"/>
  <c r="I104" i="2"/>
  <c r="I105" i="2"/>
  <c r="E104" i="2"/>
  <c r="E105" i="2"/>
  <c r="D104" i="2"/>
  <c r="D105" i="2"/>
  <c r="K104" i="2"/>
  <c r="K105" i="2"/>
  <c r="C104" i="2"/>
  <c r="C105" i="2"/>
  <c r="H104" i="2"/>
  <c r="H105" i="2"/>
  <c r="M104" i="2"/>
  <c r="M105" i="2"/>
  <c r="L104" i="2"/>
  <c r="L105" i="2"/>
  <c r="J104" i="2"/>
  <c r="J105" i="2"/>
  <c r="B104" i="2"/>
  <c r="B105" i="2"/>
  <c r="N105" i="2" s="1"/>
  <c r="N27" i="2"/>
  <c r="N26" i="2"/>
  <c r="C21" i="7" l="1"/>
  <c r="C20" i="7"/>
  <c r="G20" i="7"/>
  <c r="G21" i="7"/>
  <c r="J20" i="7"/>
  <c r="J21" i="7"/>
  <c r="E20" i="7"/>
  <c r="E21" i="7"/>
  <c r="N20" i="7"/>
  <c r="N21" i="7"/>
  <c r="H20" i="7"/>
  <c r="H21" i="7"/>
  <c r="I20" i="7"/>
  <c r="I21" i="7"/>
  <c r="F20" i="7"/>
  <c r="F21" i="7"/>
  <c r="M20" i="7"/>
  <c r="M21" i="7"/>
  <c r="K20" i="7"/>
  <c r="K21" i="7"/>
  <c r="L20" i="7"/>
  <c r="L21" i="7"/>
  <c r="O18" i="7"/>
  <c r="O16" i="7"/>
  <c r="N99" i="3"/>
  <c r="G104" i="2"/>
  <c r="N104" i="2" s="1"/>
  <c r="N33" i="2"/>
  <c r="N32" i="2"/>
  <c r="N31" i="2"/>
  <c r="N29" i="2"/>
  <c r="N28" i="2"/>
  <c r="O20" i="7" l="1"/>
  <c r="O21" i="7"/>
  <c r="N39" i="2"/>
  <c r="N19" i="2"/>
  <c r="B9" i="2"/>
  <c r="N12" i="2"/>
  <c r="N7" i="2"/>
  <c r="B42" i="2" l="1"/>
  <c r="B108" i="2"/>
  <c r="N108" i="2" s="1"/>
  <c r="B23" i="2"/>
  <c r="N17" i="2"/>
  <c r="N14" i="2"/>
  <c r="N8" i="2"/>
  <c r="N9" i="2" s="1"/>
  <c r="N23" i="2" l="1"/>
  <c r="N20" i="2"/>
  <c r="B44" i="2"/>
  <c r="N42" i="2"/>
  <c r="N43" i="2"/>
  <c r="N44" i="2" l="1"/>
  <c r="N70" i="2"/>
  <c r="N71" i="2"/>
  <c r="N48" i="2" l="1"/>
  <c r="N69" i="2"/>
  <c r="N66" i="2"/>
  <c r="N61" i="2"/>
  <c r="N76" i="2"/>
  <c r="N64" i="2"/>
  <c r="N65" i="2"/>
  <c r="N67" i="2"/>
  <c r="N68" i="2"/>
  <c r="N50" i="2" l="1"/>
  <c r="N51" i="2" s="1"/>
  <c r="C91" i="2"/>
  <c r="D91" i="2"/>
  <c r="E91" i="2"/>
  <c r="F91" i="2"/>
  <c r="G91" i="2"/>
  <c r="H91" i="2"/>
  <c r="I91" i="2"/>
  <c r="J91" i="2"/>
  <c r="K91" i="2"/>
  <c r="L91" i="2"/>
  <c r="M91" i="2"/>
  <c r="B91" i="2"/>
  <c r="B73" i="2"/>
  <c r="I94" i="2" l="1"/>
  <c r="H94" i="2"/>
  <c r="E94" i="2"/>
  <c r="G94" i="2"/>
  <c r="L94" i="2"/>
  <c r="D94" i="2"/>
  <c r="M94" i="2"/>
  <c r="K94" i="2"/>
  <c r="C94" i="2"/>
  <c r="F94" i="2"/>
  <c r="J94" i="2"/>
  <c r="N90" i="2"/>
  <c r="N89" i="2"/>
  <c r="N72" i="2"/>
  <c r="N63" i="2"/>
  <c r="N62" i="2"/>
  <c r="N58" i="2"/>
  <c r="N57" i="2"/>
  <c r="N56" i="2"/>
  <c r="N55" i="2"/>
  <c r="N54" i="2"/>
  <c r="K98" i="2" l="1"/>
  <c r="G98" i="2"/>
  <c r="J98" i="2"/>
  <c r="M98" i="2"/>
  <c r="F98" i="2"/>
  <c r="H98" i="2"/>
  <c r="E98" i="2"/>
  <c r="C98" i="2"/>
  <c r="L98" i="2"/>
  <c r="I98" i="2"/>
  <c r="D98" i="2"/>
  <c r="B98" i="2"/>
  <c r="B100" i="2" s="1"/>
  <c r="N91" i="2"/>
  <c r="N73" i="2"/>
  <c r="D100" i="2" l="1"/>
  <c r="I100" i="2"/>
  <c r="L100" i="2"/>
  <c r="M100" i="2"/>
  <c r="J100" i="2"/>
  <c r="E100" i="2"/>
  <c r="G100" i="2"/>
  <c r="K100" i="2"/>
  <c r="H100" i="2"/>
  <c r="N98" i="2"/>
  <c r="F100" i="2"/>
  <c r="C100" i="2"/>
  <c r="D95" i="2"/>
  <c r="C95" i="2"/>
  <c r="I95" i="2"/>
  <c r="N94" i="2"/>
  <c r="H95" i="2"/>
  <c r="E95" i="2"/>
  <c r="J95" i="2"/>
  <c r="M95" i="2"/>
  <c r="G95" i="2"/>
  <c r="L95" i="2"/>
  <c r="K95" i="2"/>
  <c r="F95" i="2"/>
  <c r="N100" i="2" l="1"/>
</calcChain>
</file>

<file path=xl/sharedStrings.xml><?xml version="1.0" encoding="utf-8"?>
<sst xmlns="http://schemas.openxmlformats.org/spreadsheetml/2006/main" count="668" uniqueCount="149">
  <si>
    <t>Planned Expenses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</si>
  <si>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</si>
  <si>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</si>
  <si>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</si>
  <si>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</si>
  <si>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</si>
  <si>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</si>
  <si>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</si>
  <si>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</si>
  <si>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</si>
  <si>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</si>
  <si>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</si>
  <si>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</si>
  <si>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</si>
  <si>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Employee Costs</t>
  </si>
  <si>
    <t>Benefits</t>
  </si>
  <si>
    <t>Subtotal</t>
  </si>
  <si>
    <t>Office Costs</t>
  </si>
  <si>
    <t>TOTALS</t>
  </si>
  <si>
    <t>Monthly Planned Expenses</t>
  </si>
  <si>
    <t>TOTAL Planned Expenses</t>
  </si>
  <si>
    <t>Actual Expenses</t>
  </si>
  <si>
    <t>Expense Variances</t>
  </si>
  <si>
    <t>Shaded cells are calculations.</t>
  </si>
  <si>
    <t>All cells are calculations.</t>
  </si>
  <si>
    <t>Mileage</t>
  </si>
  <si>
    <t>Maintenance</t>
  </si>
  <si>
    <t>Rent</t>
  </si>
  <si>
    <t>Bank Service Charges</t>
  </si>
  <si>
    <t>Depreciation Expenses</t>
  </si>
  <si>
    <t>Dues and Subscriptions</t>
  </si>
  <si>
    <t>Insurances</t>
  </si>
  <si>
    <t>Professional Fees</t>
  </si>
  <si>
    <t>Repairs</t>
  </si>
  <si>
    <t>Communication</t>
  </si>
  <si>
    <t>Utilities</t>
  </si>
  <si>
    <t>Alarm Monitoring</t>
  </si>
  <si>
    <t>Office Supplies</t>
  </si>
  <si>
    <t>Marketing and Sales Costs</t>
  </si>
  <si>
    <t>Marketing Subscriptions/Software</t>
  </si>
  <si>
    <t>AGJ Clothes</t>
  </si>
  <si>
    <t>Events</t>
  </si>
  <si>
    <t>Campaigns</t>
  </si>
  <si>
    <t>Automobile Costs</t>
  </si>
  <si>
    <t>Equipment/Software Lease</t>
  </si>
  <si>
    <t>Licenses and Permits</t>
  </si>
  <si>
    <t>Travel and Entertainment</t>
  </si>
  <si>
    <t>* RR Meeting</t>
  </si>
  <si>
    <t>Marketing Travel/Food*</t>
  </si>
  <si>
    <t>Professional Development**</t>
  </si>
  <si>
    <t>** EOS - Ken and Taylor Bus Group</t>
  </si>
  <si>
    <t>Property/Bldg Taxes</t>
  </si>
  <si>
    <t>Contributions</t>
  </si>
  <si>
    <t>Detailed Budget Estimates</t>
  </si>
  <si>
    <t>Product Sales</t>
  </si>
  <si>
    <t>Services Revenue</t>
  </si>
  <si>
    <t>Planned Revenue</t>
  </si>
  <si>
    <t>Product Resell Revenue</t>
  </si>
  <si>
    <t>Project Revenue</t>
  </si>
  <si>
    <t>Break-Fix Revenue</t>
  </si>
  <si>
    <t>Web Revenue (including recurring)</t>
  </si>
  <si>
    <t>Other Revenue</t>
  </si>
  <si>
    <t>TOTAL Planned Revenue</t>
  </si>
  <si>
    <t>Asset Payments</t>
  </si>
  <si>
    <t>Cash Projection</t>
  </si>
  <si>
    <t>COGS</t>
  </si>
  <si>
    <t>MSP COGS</t>
  </si>
  <si>
    <t>Project COGS</t>
  </si>
  <si>
    <t>Break-Fix COGS</t>
  </si>
  <si>
    <t>Web COGS (including recurring)</t>
  </si>
  <si>
    <t>Other COGS</t>
  </si>
  <si>
    <t>Product COGS</t>
  </si>
  <si>
    <t>TOTAL Revenue</t>
  </si>
  <si>
    <t>TOTAL Gross Profit</t>
  </si>
  <si>
    <t>TOTAL Gross Profit (Product)</t>
  </si>
  <si>
    <t>TOTAL Gross Profit (Services)</t>
  </si>
  <si>
    <t>TOTALS - Expenses</t>
  </si>
  <si>
    <t>Subtotal COGS</t>
  </si>
  <si>
    <t>Payroll - MSP</t>
  </si>
  <si>
    <t>Payroll - Web</t>
  </si>
  <si>
    <t>Payroll - Projects</t>
  </si>
  <si>
    <t>Payroll - Break-fix</t>
  </si>
  <si>
    <t xml:space="preserve">Payroll - Admin </t>
  </si>
  <si>
    <t>Payroll - Sales</t>
  </si>
  <si>
    <t>Payroll - Marketing</t>
  </si>
  <si>
    <t>Profit By Department</t>
  </si>
  <si>
    <t>MSP</t>
  </si>
  <si>
    <t>Projects</t>
  </si>
  <si>
    <t>Break-Fix</t>
  </si>
  <si>
    <t>Web</t>
  </si>
  <si>
    <t>Products</t>
  </si>
  <si>
    <t>Actual</t>
  </si>
  <si>
    <t>Notes: Paul DuVall categorized as MSP COGs</t>
  </si>
  <si>
    <t>Dry Cleaning</t>
  </si>
  <si>
    <t xml:space="preserve">   vCIO/Acct. Mgmt</t>
  </si>
  <si>
    <t>Payroll - Taxes</t>
  </si>
  <si>
    <t>Actual Revenue</t>
  </si>
  <si>
    <t>Monthly Actual Expenses</t>
  </si>
  <si>
    <t>TOTAL Actual Expenses</t>
  </si>
  <si>
    <t>Monthly Profit</t>
  </si>
  <si>
    <t>Contributions (Donations)</t>
  </si>
  <si>
    <t>Benefits (inc. retirement cont)</t>
  </si>
  <si>
    <t>Insurances (not incl. benefits)</t>
  </si>
  <si>
    <t>Net Profit</t>
  </si>
  <si>
    <t>Operating Profit</t>
  </si>
  <si>
    <t xml:space="preserve">   Pre-Sales</t>
  </si>
  <si>
    <t>All cells automatically calculated</t>
  </si>
  <si>
    <t>Total Revenue</t>
  </si>
  <si>
    <t>Total COGS</t>
  </si>
  <si>
    <t>Total Gross Profit</t>
  </si>
  <si>
    <t>Total Expenses</t>
  </si>
  <si>
    <t>Events/Campaigns</t>
  </si>
  <si>
    <t>Discretionary</t>
  </si>
  <si>
    <t>Professional Development</t>
  </si>
  <si>
    <t>YTD % Revenue</t>
  </si>
  <si>
    <t>Project</t>
  </si>
  <si>
    <t>YTD % Expenses</t>
  </si>
  <si>
    <t>Hardware/Software Sales</t>
  </si>
  <si>
    <t>Payroll</t>
  </si>
  <si>
    <t>Mkt and Sales</t>
  </si>
  <si>
    <t>Vehicles</t>
  </si>
  <si>
    <t>vCIO/Account Mgmt</t>
  </si>
  <si>
    <t>vCIO/Acct Mgmt</t>
  </si>
  <si>
    <t>Other Recurring Revenue</t>
  </si>
  <si>
    <t>(MSP) Infra Managed Revenue</t>
  </si>
  <si>
    <t xml:space="preserve">   Pre-Sales (doughnuts, etc…)</t>
  </si>
  <si>
    <t>Other Recurring COGS</t>
  </si>
  <si>
    <t>Payroll - Sales Commissions</t>
  </si>
  <si>
    <t>Payroll - Sales Commission</t>
  </si>
  <si>
    <t>Testing/Education</t>
  </si>
  <si>
    <t>Admin Employee Costs</t>
  </si>
  <si>
    <t>GM %</t>
  </si>
  <si>
    <t>MRR $</t>
  </si>
  <si>
    <t>Finance Scorecard - Actual</t>
  </si>
  <si>
    <t>Payroll - Compliance</t>
  </si>
  <si>
    <t>Compliance Dept. Project Rev</t>
  </si>
  <si>
    <t>Compliance Dept. Recurring Rev</t>
  </si>
  <si>
    <t>Compliance COGS</t>
  </si>
  <si>
    <t>Compliance</t>
  </si>
  <si>
    <t xml:space="preserve"> Total Payroll</t>
  </si>
  <si>
    <t>UTM/Wattbox/BDR</t>
  </si>
  <si>
    <t>Profit First Tax (20%)</t>
  </si>
  <si>
    <t>Tech Bonus Pool (25%)</t>
  </si>
  <si>
    <t>Profit First Profit (10%)</t>
  </si>
  <si>
    <t>Profit First Owners (35%)</t>
  </si>
  <si>
    <t>Profit First Rainy Day (10%)</t>
  </si>
  <si>
    <t>Net Profit % (Pre-Bonus)</t>
  </si>
  <si>
    <t>Net Profit % (Post-Bonus)</t>
  </si>
  <si>
    <t>Dues and Subscriptions/Testing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</si>
</sst>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&quot;$&quot;#,##0"/>
  </numFmts>
  <fonts count="35" x14ac:knownFonts="1">
    <font>
      <sz val="9"/>
      <color theme="1" tint="0.24994659260841701"/>
      <name val="Trebuchet MS"/>
      <family val="2"/>
      <scheme val="minor"/>
    </font>
    <font>
      <sz val="14"/>
      <color theme="1"/>
      <name val="Trebuchet MS"/>
      <family val="2"/>
      <scheme val="minor"/>
    </font>
    <font>
      <b/>
      <sz val="14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b/>
      <u/>
      <sz val="10"/>
      <color theme="1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b/>
      <i/>
      <sz val="10"/>
      <color theme="1"/>
      <name val="Trebuchet MS"/>
      <family val="2"/>
      <scheme val="minor"/>
    </font>
    <font>
      <b/>
      <sz val="22"/>
      <color theme="1" tint="0.24994659260841701"/>
      <name val="Microsoft Sans Serif"/>
      <family val="2"/>
      <scheme val="major"/>
    </font>
    <font>
      <b/>
      <sz val="14"/>
      <color theme="1" tint="0.14996795556505021"/>
      <name val="Microsoft Sans Serif"/>
      <family val="2"/>
      <scheme val="major"/>
    </font>
    <font>
      <sz val="11"/>
      <color theme="1" tint="0.24994659260841701"/>
      <name val="Microsoft Sans Serif"/>
      <family val="2"/>
      <scheme val="major"/>
    </font>
    <font>
      <b/>
      <sz val="9"/>
      <color theme="1" tint="0.24994659260841701"/>
      <name val="Trebuchet MS"/>
      <family val="2"/>
      <scheme val="minor"/>
    </font>
    <font>
      <i/>
      <sz val="11"/>
      <color rgb="FF7F7F7F"/>
      <name val="Trebuchet MS"/>
      <family val="2"/>
      <scheme val="minor"/>
    </font>
    <font>
      <b/>
      <sz val="10"/>
      <color theme="2"/>
      <name val="Microsoft Sans Serif"/>
      <family val="2"/>
      <scheme val="major"/>
    </font>
    <font>
      <i/>
      <sz val="8"/>
      <color rgb="FF7F7F7F"/>
      <name val="Trebuchet MS"/>
      <family val="2"/>
      <scheme val="minor"/>
    </font>
    <font>
      <sz val="11"/>
      <color theme="3" tint="0.89996032593768116"/>
      <name val="Microsoft Sans Serif"/>
      <family val="2"/>
      <scheme val="major"/>
    </font>
    <font>
      <sz val="9"/>
      <color theme="3" tint="0.89999084444715716"/>
      <name val="Trebuchet MS"/>
      <family val="2"/>
      <scheme val="minor"/>
    </font>
    <font>
      <sz val="9"/>
      <color theme="1" tint="0.24994659260841701"/>
      <name val="Trebuchet MS"/>
      <family val="2"/>
      <scheme val="minor"/>
    </font>
    <font>
      <sz val="9"/>
      <name val="Trebuchet MS"/>
      <family val="2"/>
      <scheme val="minor"/>
    </font>
    <font>
      <sz val="9"/>
      <color theme="1" tint="0.24994659260841701"/>
      <name val="Trebuchet MS"/>
      <family val="2"/>
      <scheme val="minor"/>
    </font>
    <font>
      <b/>
      <sz val="10"/>
      <color theme="1"/>
      <name val="Microsoft Sans Serif"/>
      <family val="2"/>
      <scheme val="major"/>
    </font>
    <font>
      <sz val="9"/>
      <color theme="1"/>
      <name val="Trebuchet MS"/>
      <family val="2"/>
      <scheme val="minor"/>
    </font>
    <font>
      <b/>
      <sz val="12"/>
      <color theme="1"/>
      <name val="Microsoft Sans Serif"/>
      <family val="2"/>
      <scheme val="major"/>
    </font>
    <font>
      <b/>
      <sz val="10"/>
      <color theme="1" tint="0.24994659260841701"/>
      <name val="Trebuchet MS"/>
      <family val="2"/>
      <scheme val="minor"/>
    </font>
    <font>
      <b/>
      <sz val="10"/>
      <name val="Trebuchet MS"/>
      <family val="2"/>
      <scheme val="minor"/>
    </font>
    <font>
      <b/>
      <sz val="12"/>
      <name val="Microsoft Sans Serif"/>
      <family val="2"/>
      <scheme val="major"/>
    </font>
    <font>
      <b/>
      <sz val="9"/>
      <name val="Trebuchet MS"/>
      <family val="2"/>
      <scheme val="minor"/>
    </font>
    <font>
      <sz val="10"/>
      <color theme="1" tint="0.24994659260841701"/>
      <name val="Trebuchet MS"/>
      <family val="2"/>
      <scheme val="minor"/>
    </font>
    <font>
      <b/>
      <sz val="11"/>
      <color theme="1" tint="0.24994659260841701"/>
      <name val="Trebuchet MS"/>
      <family val="2"/>
      <scheme val="minor"/>
    </font>
    <font>
      <sz val="9"/>
      <color theme="1" tint="0.24994659260841701"/>
      <name val="Trebuchet MS"/>
      <family val="2"/>
      <scheme val="minor"/>
    </font>
    <font>
      <sz val="9"/>
      <color theme="1" tint="0.24994659260841701"/>
      <name val="Trebuchet MS"/>
      <family val="2"/>
      <scheme val="minor"/>
    </font>
    <font>
      <sz val="9"/>
      <color theme="1" tint="0.24994659260841701"/>
      <name val="Trebuchet MS"/>
      <family val="2"/>
      <scheme val="minor"/>
    </font>
    <font>
      <sz val="9"/>
      <name val="Trebuchet MS"/>
      <family val="2"/>
      <scheme val="minor"/>
    </font>
    <font>
      <sz val="9"/>
      <color theme="1" tint="0.24994659260841701"/>
      <name val="Trebuchet MS"/>
      <family val="2"/>
      <scheme val="minor"/>
    </font>
    <font>
      <sz val="9"/>
      <name val="Trebuchet MS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theme="3" tint="0.24994659260841701"/>
      </left>
      <right style="thin">
        <color theme="3" tint="0.24994659260841701"/>
      </right>
      <top style="thin">
        <color theme="3" tint="0.24994659260841701"/>
      </top>
      <bottom style="thin">
        <color theme="3" tint="0.24994659260841701"/>
      </bottom>
      <diagonal/>
    </border>
    <border>
      <left style="thin">
        <color theme="3" tint="0.24994659260841701"/>
      </left>
      <right style="thin">
        <color theme="3" tint="0.24994659260841701"/>
      </right>
      <top style="thin">
        <color theme="3" tint="0.24994659260841701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  <border>
      <left/>
      <right style="thin">
        <color theme="5" tint="-0.499984740745262"/>
      </right>
      <top/>
      <bottom style="thin">
        <color theme="5" tint="-0.499984740745262"/>
      </bottom>
      <diagonal/>
    </border>
    <border>
      <left/>
      <right/>
      <top style="thin">
        <color theme="3" tint="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24994659260841701"/>
      </left>
      <right style="thin">
        <color theme="3" tint="0.24994659260841701"/>
      </right>
      <top/>
      <bottom style="thin">
        <color theme="3" tint="0.24994659260841701"/>
      </bottom>
      <diagonal/>
    </border>
  </borders>
  <cellStyleXfs count="7">
    <xf numFmtId="0" fontId="0" fillId="0" borderId="0"/>
    <xf numFmtId="0" fontId="8" fillId="0" borderId="0" applyNumberFormat="0" applyFill="0" applyProtection="0">
      <alignment vertical="center"/>
    </xf>
    <xf numFmtId="0" fontId="9" fillId="0" borderId="0" applyNumberFormat="0" applyProtection="0">
      <alignment vertical="center"/>
    </xf>
    <xf numFmtId="0" fontId="13" fillId="2" borderId="0" applyNumberFormat="0" applyProtection="0">
      <alignment vertical="center"/>
    </xf>
    <xf numFmtId="0" fontId="10" fillId="3" borderId="3" applyNumberFormat="0" applyProtection="0">
      <alignment horizontal="left" vertical="center" indent="1"/>
    </xf>
    <xf numFmtId="0" fontId="12" fillId="0" borderId="0" applyNumberFormat="0" applyFill="0" applyBorder="0" applyAlignment="0" applyProtection="0"/>
    <xf numFmtId="44" fontId="17" fillId="0" borderId="0" applyFont="0" applyFill="0" applyBorder="0" applyAlignment="0" applyProtection="0"/>
  </cellStyleXfs>
  <cellXfs count="216">
    <xf numFmtId="0" fontId="0" fillId="0" borderId="0" xfId="0"/>
    <xf numFmtId="0" fontId="1" fillId="0" borderId="0" xfId="0" applyFont="1"/>
    <xf numFmtId="0" fontId="2" fillId="0" borderId="0" xfId="0" applyNumberFormat="1" applyFont="1" applyAlignment="1"/>
    <xf numFmtId="164" fontId="2" fillId="0" borderId="0" xfId="0" applyNumberFormat="1" applyFont="1" applyAlignment="1">
      <alignment horizontal="right"/>
    </xf>
    <xf numFmtId="0" fontId="3" fillId="0" borderId="0" xfId="0" applyNumberFormat="1" applyFont="1" applyAlignment="1"/>
    <xf numFmtId="164" fontId="3" fillId="0" borderId="0" xfId="0" applyNumberFormat="1" applyFont="1" applyAlignment="1">
      <alignment horizontal="right"/>
    </xf>
    <xf numFmtId="0" fontId="5" fillId="0" borderId="0" xfId="0" applyNumberFormat="1" applyFont="1" applyAlignment="1"/>
    <xf numFmtId="164" fontId="5" fillId="0" borderId="0" xfId="0" applyNumberFormat="1" applyFont="1" applyAlignment="1">
      <alignment horizontal="right"/>
    </xf>
    <xf numFmtId="0" fontId="1" fillId="0" borderId="0" xfId="0" applyFont="1" applyBorder="1"/>
    <xf numFmtId="37" fontId="4" fillId="0" borderId="0" xfId="0" applyNumberFormat="1" applyFont="1" applyAlignment="1">
      <alignment horizontal="right"/>
    </xf>
    <xf numFmtId="37" fontId="6" fillId="0" borderId="0" xfId="0" applyNumberFormat="1" applyFont="1" applyAlignment="1">
      <alignment horizontal="right"/>
    </xf>
    <xf numFmtId="37" fontId="7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Border="1"/>
    <xf numFmtId="0" fontId="9" fillId="0" borderId="0" xfId="2" applyNumberFormat="1" applyAlignment="1"/>
    <xf numFmtId="0" fontId="13" fillId="2" borderId="0" xfId="3" applyNumberFormat="1" applyAlignment="1">
      <alignment horizontal="center" vertical="center"/>
    </xf>
    <xf numFmtId="164" fontId="13" fillId="2" borderId="0" xfId="3" applyNumberFormat="1" applyAlignment="1">
      <alignment horizontal="center" vertical="center"/>
    </xf>
    <xf numFmtId="0" fontId="13" fillId="2" borderId="0" xfId="3" applyNumberFormat="1" applyAlignment="1">
      <alignment horizontal="left" vertical="center" indent="1"/>
    </xf>
    <xf numFmtId="0" fontId="13" fillId="2" borderId="0" xfId="3" applyNumberFormat="1" applyAlignment="1">
      <alignment vertical="center"/>
    </xf>
    <xf numFmtId="164" fontId="13" fillId="2" borderId="0" xfId="3" applyNumberFormat="1" applyAlignment="1">
      <alignment horizontal="right" vertical="center"/>
    </xf>
    <xf numFmtId="0" fontId="8" fillId="0" borderId="0" xfId="1" applyNumberFormat="1" applyAlignment="1"/>
    <xf numFmtId="0" fontId="0" fillId="0" borderId="1" xfId="0" applyNumberFormat="1" applyFont="1" applyBorder="1" applyAlignment="1">
      <alignment horizontal="left" indent="2"/>
    </xf>
    <xf numFmtId="0" fontId="0" fillId="0" borderId="2" xfId="0" applyNumberFormat="1" applyFont="1" applyBorder="1" applyAlignment="1">
      <alignment horizontal="left" indent="2"/>
    </xf>
    <xf numFmtId="8" fontId="11" fillId="0" borderId="1" xfId="0" applyNumberFormat="1" applyFont="1" applyBorder="1" applyAlignment="1">
      <alignment horizontal="right"/>
    </xf>
    <xf numFmtId="0" fontId="11" fillId="0" borderId="1" xfId="0" applyNumberFormat="1" applyFont="1" applyBorder="1" applyAlignment="1">
      <alignment horizontal="left" indent="1"/>
    </xf>
    <xf numFmtId="8" fontId="11" fillId="4" borderId="1" xfId="0" applyNumberFormat="1" applyFont="1" applyFill="1" applyBorder="1" applyAlignment="1">
      <alignment horizontal="right"/>
    </xf>
    <xf numFmtId="0" fontId="14" fillId="0" borderId="0" xfId="5" applyNumberFormat="1" applyFont="1" applyAlignment="1"/>
    <xf numFmtId="0" fontId="15" fillId="3" borderId="5" xfId="4" applyNumberFormat="1" applyFont="1" applyBorder="1">
      <alignment horizontal="left" vertical="center" indent="1"/>
    </xf>
    <xf numFmtId="164" fontId="15" fillId="3" borderId="5" xfId="4" applyNumberFormat="1" applyFont="1" applyBorder="1">
      <alignment horizontal="left" vertical="center" indent="1"/>
    </xf>
    <xf numFmtId="0" fontId="15" fillId="3" borderId="6" xfId="4" applyNumberFormat="1" applyFont="1" applyBorder="1">
      <alignment horizontal="left" vertical="center" indent="1"/>
    </xf>
    <xf numFmtId="0" fontId="0" fillId="0" borderId="0" xfId="4" applyNumberFormat="1" applyFont="1" applyFill="1" applyBorder="1">
      <alignment horizontal="left" vertical="center" indent="1"/>
    </xf>
    <xf numFmtId="0" fontId="0" fillId="0" borderId="0" xfId="0" applyNumberFormat="1" applyFont="1" applyFill="1" applyBorder="1" applyAlignment="1">
      <alignment horizontal="left" indent="2"/>
    </xf>
    <xf numFmtId="8" fontId="0" fillId="0" borderId="0" xfId="0" applyNumberFormat="1" applyFont="1" applyFill="1" applyBorder="1" applyAlignment="1">
      <alignment horizontal="right"/>
    </xf>
    <xf numFmtId="0" fontId="16" fillId="0" borderId="0" xfId="4" applyNumberFormat="1" applyFont="1" applyFill="1" applyBorder="1">
      <alignment horizontal="left" vertical="center" indent="1"/>
    </xf>
    <xf numFmtId="164" fontId="16" fillId="0" borderId="0" xfId="4" applyNumberFormat="1" applyFont="1" applyFill="1" applyBorder="1">
      <alignment horizontal="left" vertical="center" indent="1"/>
    </xf>
    <xf numFmtId="0" fontId="16" fillId="0" borderId="0" xfId="4" applyNumberFormat="1" applyFont="1" applyFill="1" applyBorder="1" applyAlignment="1">
      <alignment horizontal="left" vertical="center" indent="1"/>
    </xf>
    <xf numFmtId="164" fontId="16" fillId="0" borderId="0" xfId="4" applyNumberFormat="1" applyFont="1" applyFill="1" applyBorder="1" applyAlignment="1">
      <alignment horizontal="left" vertical="center" indent="1"/>
    </xf>
    <xf numFmtId="8" fontId="11" fillId="5" borderId="1" xfId="0" applyNumberFormat="1" applyFont="1" applyFill="1" applyBorder="1" applyAlignment="1">
      <alignment horizontal="right"/>
    </xf>
    <xf numFmtId="0" fontId="11" fillId="3" borderId="4" xfId="4" applyNumberFormat="1" applyFont="1" applyBorder="1">
      <alignment horizontal="left" vertical="center" indent="1"/>
    </xf>
    <xf numFmtId="0" fontId="11" fillId="0" borderId="0" xfId="4" applyNumberFormat="1" applyFont="1" applyFill="1" applyBorder="1">
      <alignment horizontal="left" vertical="center" indent="1"/>
    </xf>
    <xf numFmtId="0" fontId="19" fillId="0" borderId="0" xfId="0" applyFont="1" applyFill="1" applyBorder="1" applyAlignment="1">
      <alignment horizontal="left" indent="2"/>
    </xf>
    <xf numFmtId="0" fontId="19" fillId="0" borderId="0" xfId="0" applyNumberFormat="1" applyFont="1" applyFill="1" applyBorder="1" applyAlignment="1">
      <alignment horizontal="left" indent="2"/>
    </xf>
    <xf numFmtId="8" fontId="19" fillId="0" borderId="0" xfId="0" applyNumberFormat="1" applyFont="1" applyFill="1" applyBorder="1"/>
    <xf numFmtId="0" fontId="19" fillId="0" borderId="0" xfId="0" applyNumberFormat="1" applyFont="1" applyFill="1" applyAlignment="1">
      <alignment horizontal="left" indent="2"/>
    </xf>
    <xf numFmtId="0" fontId="11" fillId="0" borderId="0" xfId="0" applyNumberFormat="1" applyFont="1" applyBorder="1" applyAlignment="1">
      <alignment horizontal="left" indent="1"/>
    </xf>
    <xf numFmtId="8" fontId="11" fillId="0" borderId="0" xfId="0" applyNumberFormat="1" applyFont="1" applyBorder="1" applyAlignment="1">
      <alignment horizontal="right"/>
    </xf>
    <xf numFmtId="0" fontId="19" fillId="0" borderId="0" xfId="4" applyNumberFormat="1" applyFont="1" applyFill="1" applyBorder="1" applyAlignment="1">
      <alignment horizontal="left" indent="2"/>
    </xf>
    <xf numFmtId="0" fontId="11" fillId="7" borderId="0" xfId="0" applyNumberFormat="1" applyFont="1" applyFill="1" applyBorder="1" applyAlignment="1">
      <alignment horizontal="left" indent="1"/>
    </xf>
    <xf numFmtId="8" fontId="11" fillId="7" borderId="0" xfId="0" applyNumberFormat="1" applyFont="1" applyFill="1" applyBorder="1" applyAlignment="1">
      <alignment horizontal="right"/>
    </xf>
    <xf numFmtId="0" fontId="1" fillId="7" borderId="0" xfId="0" applyFont="1" applyFill="1"/>
    <xf numFmtId="0" fontId="19" fillId="7" borderId="0" xfId="0" applyFont="1" applyFill="1" applyBorder="1" applyAlignment="1">
      <alignment horizontal="left" indent="2"/>
    </xf>
    <xf numFmtId="8" fontId="19" fillId="7" borderId="0" xfId="0" applyNumberFormat="1" applyFont="1" applyFill="1" applyBorder="1"/>
    <xf numFmtId="0" fontId="14" fillId="7" borderId="0" xfId="5" applyNumberFormat="1" applyFont="1" applyFill="1" applyAlignment="1"/>
    <xf numFmtId="0" fontId="5" fillId="7" borderId="0" xfId="0" applyNumberFormat="1" applyFont="1" applyFill="1" applyAlignment="1"/>
    <xf numFmtId="164" fontId="5" fillId="7" borderId="0" xfId="0" applyNumberFormat="1" applyFont="1" applyFill="1" applyAlignment="1">
      <alignment horizontal="right"/>
    </xf>
    <xf numFmtId="0" fontId="20" fillId="8" borderId="0" xfId="3" applyNumberFormat="1" applyFont="1" applyFill="1" applyAlignment="1">
      <alignment horizontal="left" vertical="center" indent="1"/>
    </xf>
    <xf numFmtId="0" fontId="20" fillId="8" borderId="0" xfId="3" applyNumberFormat="1" applyFont="1" applyFill="1" applyAlignment="1">
      <alignment vertical="center"/>
    </xf>
    <xf numFmtId="164" fontId="20" fillId="8" borderId="0" xfId="3" applyNumberFormat="1" applyFont="1" applyFill="1" applyAlignment="1">
      <alignment horizontal="right" vertical="center"/>
    </xf>
    <xf numFmtId="8" fontId="11" fillId="6" borderId="0" xfId="0" applyNumberFormat="1" applyFont="1" applyFill="1" applyBorder="1" applyAlignment="1">
      <alignment horizontal="right"/>
    </xf>
    <xf numFmtId="0" fontId="13" fillId="9" borderId="0" xfId="3" applyNumberFormat="1" applyFill="1" applyAlignment="1">
      <alignment vertical="center"/>
    </xf>
    <xf numFmtId="164" fontId="13" fillId="9" borderId="0" xfId="3" applyNumberFormat="1" applyFill="1" applyAlignment="1">
      <alignment horizontal="right" vertical="center"/>
    </xf>
    <xf numFmtId="0" fontId="4" fillId="0" borderId="0" xfId="0" applyFont="1" applyFill="1" applyBorder="1"/>
    <xf numFmtId="6" fontId="11" fillId="0" borderId="0" xfId="4" applyNumberFormat="1" applyFont="1" applyFill="1" applyBorder="1">
      <alignment horizontal="left" vertical="center" indent="1"/>
    </xf>
    <xf numFmtId="6" fontId="16" fillId="0" borderId="0" xfId="4" applyNumberFormat="1" applyFont="1" applyFill="1" applyBorder="1" applyAlignment="1">
      <alignment horizontal="left" vertical="center" indent="1"/>
    </xf>
    <xf numFmtId="6" fontId="0" fillId="0" borderId="0" xfId="0" applyNumberFormat="1" applyFont="1" applyFill="1" applyBorder="1" applyAlignment="1">
      <alignment horizontal="left" indent="2"/>
    </xf>
    <xf numFmtId="6" fontId="0" fillId="0" borderId="0" xfId="0" applyNumberFormat="1" applyFont="1" applyFill="1" applyBorder="1" applyAlignment="1">
      <alignment horizontal="right"/>
    </xf>
    <xf numFmtId="6" fontId="19" fillId="0" borderId="0" xfId="0" applyNumberFormat="1" applyFont="1" applyFill="1" applyBorder="1" applyAlignment="1">
      <alignment horizontal="left" indent="2"/>
    </xf>
    <xf numFmtId="6" fontId="19" fillId="0" borderId="0" xfId="0" applyNumberFormat="1" applyFont="1" applyFill="1" applyBorder="1"/>
    <xf numFmtId="6" fontId="0" fillId="0" borderId="1" xfId="0" applyNumberFormat="1" applyFont="1" applyBorder="1" applyAlignment="1">
      <alignment horizontal="left" indent="2"/>
    </xf>
    <xf numFmtId="6" fontId="0" fillId="0" borderId="1" xfId="0" applyNumberFormat="1" applyFont="1" applyBorder="1" applyAlignment="1">
      <alignment horizontal="right"/>
    </xf>
    <xf numFmtId="6" fontId="0" fillId="4" borderId="1" xfId="0" applyNumberFormat="1" applyFont="1" applyFill="1" applyBorder="1" applyAlignment="1">
      <alignment horizontal="right"/>
    </xf>
    <xf numFmtId="6" fontId="14" fillId="0" borderId="0" xfId="5" applyNumberFormat="1" applyFont="1" applyAlignment="1"/>
    <xf numFmtId="6" fontId="5" fillId="0" borderId="0" xfId="0" applyNumberFormat="1" applyFont="1" applyAlignment="1"/>
    <xf numFmtId="6" fontId="5" fillId="0" borderId="0" xfId="0" applyNumberFormat="1" applyFont="1" applyAlignment="1">
      <alignment horizontal="right"/>
    </xf>
    <xf numFmtId="6" fontId="19" fillId="0" borderId="0" xfId="0" applyNumberFormat="1" applyFont="1" applyFill="1" applyAlignment="1">
      <alignment horizontal="left" indent="2"/>
    </xf>
    <xf numFmtId="6" fontId="13" fillId="2" borderId="0" xfId="3" applyNumberFormat="1" applyAlignment="1">
      <alignment horizontal="left" vertical="center" indent="1"/>
    </xf>
    <xf numFmtId="6" fontId="13" fillId="2" borderId="0" xfId="3" applyNumberFormat="1" applyAlignment="1">
      <alignment vertical="center"/>
    </xf>
    <xf numFmtId="6" fontId="13" fillId="2" borderId="0" xfId="3" applyNumberFormat="1" applyAlignment="1">
      <alignment horizontal="right" vertical="center"/>
    </xf>
    <xf numFmtId="6" fontId="11" fillId="0" borderId="1" xfId="0" applyNumberFormat="1" applyFont="1" applyBorder="1" applyAlignment="1">
      <alignment horizontal="left" indent="1"/>
    </xf>
    <xf numFmtId="6" fontId="11" fillId="4" borderId="1" xfId="0" applyNumberFormat="1" applyFont="1" applyFill="1" applyBorder="1" applyAlignment="1">
      <alignment horizontal="right"/>
    </xf>
    <xf numFmtId="6" fontId="11" fillId="0" borderId="1" xfId="0" applyNumberFormat="1" applyFont="1" applyBorder="1" applyAlignment="1">
      <alignment horizontal="right"/>
    </xf>
    <xf numFmtId="6" fontId="11" fillId="7" borderId="0" xfId="0" applyNumberFormat="1" applyFont="1" applyFill="1" applyBorder="1" applyAlignment="1">
      <alignment horizontal="left" indent="1"/>
    </xf>
    <xf numFmtId="6" fontId="11" fillId="7" borderId="0" xfId="0" applyNumberFormat="1" applyFont="1" applyFill="1" applyBorder="1" applyAlignment="1">
      <alignment horizontal="right"/>
    </xf>
    <xf numFmtId="6" fontId="19" fillId="0" borderId="0" xfId="4" applyNumberFormat="1" applyFont="1" applyFill="1" applyBorder="1" applyAlignment="1">
      <alignment horizontal="left" indent="2"/>
    </xf>
    <xf numFmtId="6" fontId="21" fillId="0" borderId="0" xfId="0" applyNumberFormat="1" applyFont="1" applyFill="1" applyBorder="1" applyAlignment="1">
      <alignment horizontal="right"/>
    </xf>
    <xf numFmtId="6" fontId="0" fillId="0" borderId="0" xfId="0" applyNumberFormat="1" applyFont="1" applyFill="1" applyBorder="1"/>
    <xf numFmtId="6" fontId="19" fillId="7" borderId="0" xfId="0" applyNumberFormat="1" applyFont="1" applyFill="1" applyBorder="1" applyAlignment="1">
      <alignment horizontal="left" indent="2"/>
    </xf>
    <xf numFmtId="6" fontId="19" fillId="7" borderId="0" xfId="0" applyNumberFormat="1" applyFont="1" applyFill="1" applyBorder="1"/>
    <xf numFmtId="6" fontId="14" fillId="7" borderId="0" xfId="5" applyNumberFormat="1" applyFont="1" applyFill="1" applyAlignment="1"/>
    <xf numFmtId="6" fontId="5" fillId="7" borderId="0" xfId="0" applyNumberFormat="1" applyFont="1" applyFill="1" applyAlignment="1"/>
    <xf numFmtId="6" fontId="5" fillId="7" borderId="0" xfId="0" applyNumberFormat="1" applyFont="1" applyFill="1" applyAlignment="1">
      <alignment horizontal="right"/>
    </xf>
    <xf numFmtId="6" fontId="13" fillId="2" borderId="0" xfId="3" applyNumberFormat="1" applyAlignment="1">
      <alignment horizontal="center" vertical="center"/>
    </xf>
    <xf numFmtId="6" fontId="4" fillId="0" borderId="0" xfId="0" applyNumberFormat="1" applyFont="1" applyAlignment="1">
      <alignment horizontal="right"/>
    </xf>
    <xf numFmtId="6" fontId="6" fillId="0" borderId="0" xfId="0" applyNumberFormat="1" applyFont="1" applyAlignment="1">
      <alignment horizontal="right"/>
    </xf>
    <xf numFmtId="6" fontId="16" fillId="0" borderId="0" xfId="4" applyNumberFormat="1" applyFont="1" applyFill="1" applyBorder="1">
      <alignment horizontal="left" vertical="center" indent="1"/>
    </xf>
    <xf numFmtId="6" fontId="7" fillId="0" borderId="0" xfId="0" applyNumberFormat="1" applyFont="1" applyAlignment="1">
      <alignment horizontal="right"/>
    </xf>
    <xf numFmtId="6" fontId="0" fillId="0" borderId="0" xfId="4" applyNumberFormat="1" applyFont="1" applyFill="1" applyBorder="1">
      <alignment horizontal="left" vertical="center" indent="1"/>
    </xf>
    <xf numFmtId="6" fontId="18" fillId="0" borderId="0" xfId="6" applyNumberFormat="1" applyFont="1" applyFill="1" applyBorder="1" applyAlignment="1">
      <alignment horizontal="right" indent="1"/>
    </xf>
    <xf numFmtId="6" fontId="19" fillId="0" borderId="0" xfId="0" applyNumberFormat="1" applyFont="1" applyFill="1" applyBorder="1" applyAlignment="1">
      <alignment horizontal="right"/>
    </xf>
    <xf numFmtId="6" fontId="11" fillId="3" borderId="4" xfId="4" applyNumberFormat="1" applyFont="1" applyBorder="1">
      <alignment horizontal="left" vertical="center" indent="1"/>
    </xf>
    <xf numFmtId="6" fontId="15" fillId="3" borderId="5" xfId="4" applyNumberFormat="1" applyFont="1" applyBorder="1">
      <alignment horizontal="left" vertical="center" indent="1"/>
    </xf>
    <xf numFmtId="6" fontId="15" fillId="3" borderId="6" xfId="4" applyNumberFormat="1" applyFont="1" applyBorder="1">
      <alignment horizontal="left" vertical="center" indent="1"/>
    </xf>
    <xf numFmtId="6" fontId="0" fillId="0" borderId="2" xfId="0" applyNumberFormat="1" applyFont="1" applyBorder="1" applyAlignment="1">
      <alignment horizontal="left" indent="2"/>
    </xf>
    <xf numFmtId="6" fontId="0" fillId="0" borderId="2" xfId="0" applyNumberFormat="1" applyFont="1" applyBorder="1" applyAlignment="1">
      <alignment horizontal="right"/>
    </xf>
    <xf numFmtId="6" fontId="0" fillId="4" borderId="2" xfId="0" applyNumberFormat="1" applyFont="1" applyFill="1" applyBorder="1" applyAlignment="1">
      <alignment horizontal="right"/>
    </xf>
    <xf numFmtId="6" fontId="1" fillId="7" borderId="0" xfId="0" applyNumberFormat="1" applyFont="1" applyFill="1"/>
    <xf numFmtId="6" fontId="11" fillId="0" borderId="0" xfId="0" applyNumberFormat="1" applyFont="1" applyBorder="1" applyAlignment="1">
      <alignment horizontal="left" indent="1"/>
    </xf>
    <xf numFmtId="6" fontId="11" fillId="6" borderId="0" xfId="0" applyNumberFormat="1" applyFont="1" applyFill="1" applyBorder="1" applyAlignment="1">
      <alignment horizontal="right"/>
    </xf>
    <xf numFmtId="6" fontId="20" fillId="8" borderId="0" xfId="3" applyNumberFormat="1" applyFont="1" applyFill="1" applyAlignment="1">
      <alignment horizontal="left" vertical="center" indent="1"/>
    </xf>
    <xf numFmtId="6" fontId="20" fillId="8" borderId="0" xfId="3" applyNumberFormat="1" applyFont="1" applyFill="1" applyAlignment="1">
      <alignment vertical="center"/>
    </xf>
    <xf numFmtId="6" fontId="20" fillId="8" borderId="0" xfId="3" applyNumberFormat="1" applyFont="1" applyFill="1" applyAlignment="1">
      <alignment horizontal="right" vertical="center"/>
    </xf>
    <xf numFmtId="6" fontId="11" fillId="5" borderId="1" xfId="0" applyNumberFormat="1" applyFont="1" applyFill="1" applyBorder="1" applyAlignment="1">
      <alignment horizontal="right"/>
    </xf>
    <xf numFmtId="165" fontId="21" fillId="0" borderId="0" xfId="4" applyNumberFormat="1" applyFont="1" applyFill="1" applyBorder="1" applyAlignment="1">
      <alignment horizontal="left" vertical="center" indent="1"/>
    </xf>
    <xf numFmtId="165" fontId="16" fillId="0" borderId="0" xfId="4" applyNumberFormat="1" applyFont="1" applyFill="1" applyBorder="1" applyAlignment="1">
      <alignment horizontal="left" vertical="center" indent="1"/>
    </xf>
    <xf numFmtId="165" fontId="21" fillId="0" borderId="0" xfId="0" applyNumberFormat="1" applyFont="1" applyFill="1" applyBorder="1" applyAlignment="1">
      <alignment horizontal="right"/>
    </xf>
    <xf numFmtId="6" fontId="23" fillId="4" borderId="1" xfId="0" applyNumberFormat="1" applyFont="1" applyFill="1" applyBorder="1" applyAlignment="1">
      <alignment horizontal="right"/>
    </xf>
    <xf numFmtId="8" fontId="23" fillId="4" borderId="1" xfId="0" applyNumberFormat="1" applyFont="1" applyFill="1" applyBorder="1" applyAlignment="1">
      <alignment horizontal="right"/>
    </xf>
    <xf numFmtId="6" fontId="23" fillId="0" borderId="1" xfId="0" applyNumberFormat="1" applyFont="1" applyFill="1" applyBorder="1" applyAlignment="1">
      <alignment horizontal="right"/>
    </xf>
    <xf numFmtId="8" fontId="23" fillId="0" borderId="1" xfId="0" applyNumberFormat="1" applyFont="1" applyFill="1" applyBorder="1" applyAlignment="1">
      <alignment horizontal="right"/>
    </xf>
    <xf numFmtId="8" fontId="23" fillId="0" borderId="1" xfId="0" applyNumberFormat="1" applyFont="1" applyBorder="1" applyAlignment="1">
      <alignment horizontal="right"/>
    </xf>
    <xf numFmtId="6" fontId="18" fillId="0" borderId="0" xfId="0" applyNumberFormat="1" applyFont="1" applyFill="1" applyBorder="1" applyAlignment="1">
      <alignment horizontal="right"/>
    </xf>
    <xf numFmtId="6" fontId="19" fillId="0" borderId="2" xfId="0" applyNumberFormat="1" applyFont="1" applyBorder="1" applyAlignment="1">
      <alignment horizontal="right"/>
    </xf>
    <xf numFmtId="0" fontId="25" fillId="10" borderId="0" xfId="3" applyNumberFormat="1" applyFont="1" applyFill="1" applyAlignment="1">
      <alignment horizontal="left" vertical="center" indent="1"/>
    </xf>
    <xf numFmtId="0" fontId="26" fillId="10" borderId="1" xfId="0" applyNumberFormat="1" applyFont="1" applyFill="1" applyBorder="1" applyAlignment="1">
      <alignment horizontal="left" indent="1"/>
    </xf>
    <xf numFmtId="0" fontId="22" fillId="11" borderId="0" xfId="3" applyNumberFormat="1" applyFont="1" applyFill="1" applyAlignment="1">
      <alignment horizontal="left" vertical="center" indent="1"/>
    </xf>
    <xf numFmtId="0" fontId="13" fillId="11" borderId="0" xfId="3" applyNumberFormat="1" applyFill="1" applyAlignment="1">
      <alignment vertical="center"/>
    </xf>
    <xf numFmtId="164" fontId="13" fillId="11" borderId="0" xfId="3" applyNumberFormat="1" applyFill="1" applyAlignment="1">
      <alignment horizontal="right" vertical="center"/>
    </xf>
    <xf numFmtId="0" fontId="24" fillId="11" borderId="1" xfId="0" applyNumberFormat="1" applyFont="1" applyFill="1" applyBorder="1" applyAlignment="1">
      <alignment horizontal="left" indent="1"/>
    </xf>
    <xf numFmtId="6" fontId="24" fillId="11" borderId="1" xfId="0" applyNumberFormat="1" applyFont="1" applyFill="1" applyBorder="1" applyAlignment="1">
      <alignment horizontal="left" indent="1"/>
    </xf>
    <xf numFmtId="6" fontId="22" fillId="11" borderId="0" xfId="3" applyNumberFormat="1" applyFont="1" applyFill="1" applyAlignment="1">
      <alignment horizontal="left" vertical="center" indent="1"/>
    </xf>
    <xf numFmtId="6" fontId="26" fillId="11" borderId="1" xfId="0" applyNumberFormat="1" applyFont="1" applyFill="1" applyBorder="1" applyAlignment="1">
      <alignment horizontal="left" indent="1"/>
    </xf>
    <xf numFmtId="6" fontId="13" fillId="11" borderId="0" xfId="3" applyNumberFormat="1" applyFill="1" applyAlignment="1">
      <alignment vertical="center"/>
    </xf>
    <xf numFmtId="6" fontId="13" fillId="11" borderId="0" xfId="3" applyNumberFormat="1" applyFill="1" applyAlignment="1">
      <alignment horizontal="right" vertical="center"/>
    </xf>
    <xf numFmtId="0" fontId="13" fillId="2" borderId="8" xfId="3" applyNumberFormat="1" applyBorder="1" applyAlignment="1">
      <alignment horizontal="left" vertical="center" indent="1"/>
    </xf>
    <xf numFmtId="0" fontId="13" fillId="2" borderId="8" xfId="3" applyNumberFormat="1" applyBorder="1" applyAlignment="1">
      <alignment horizontal="center" vertical="center"/>
    </xf>
    <xf numFmtId="164" fontId="13" fillId="2" borderId="8" xfId="3" applyNumberFormat="1" applyBorder="1" applyAlignment="1">
      <alignment horizontal="center" vertical="center"/>
    </xf>
    <xf numFmtId="0" fontId="23" fillId="5" borderId="8" xfId="0" applyFont="1" applyFill="1" applyBorder="1"/>
    <xf numFmtId="6" fontId="27" fillId="5" borderId="8" xfId="0" applyNumberFormat="1" applyFont="1" applyFill="1" applyBorder="1"/>
    <xf numFmtId="6" fontId="23" fillId="5" borderId="8" xfId="0" applyNumberFormat="1" applyFont="1" applyFill="1" applyBorder="1"/>
    <xf numFmtId="0" fontId="23" fillId="0" borderId="8" xfId="0" applyFont="1" applyBorder="1"/>
    <xf numFmtId="0" fontId="27" fillId="0" borderId="8" xfId="0" applyFont="1" applyBorder="1"/>
    <xf numFmtId="8" fontId="27" fillId="5" borderId="8" xfId="0" applyNumberFormat="1" applyFont="1" applyFill="1" applyBorder="1"/>
    <xf numFmtId="0" fontId="23" fillId="11" borderId="8" xfId="0" applyFont="1" applyFill="1" applyBorder="1"/>
    <xf numFmtId="6" fontId="23" fillId="11" borderId="8" xfId="0" applyNumberFormat="1" applyFont="1" applyFill="1" applyBorder="1"/>
    <xf numFmtId="0" fontId="4" fillId="12" borderId="0" xfId="0" applyFont="1" applyFill="1"/>
    <xf numFmtId="6" fontId="11" fillId="4" borderId="2" xfId="0" applyNumberFormat="1" applyFont="1" applyFill="1" applyBorder="1" applyAlignment="1">
      <alignment horizontal="right"/>
    </xf>
    <xf numFmtId="6" fontId="11" fillId="4" borderId="9" xfId="0" applyNumberFormat="1" applyFont="1" applyFill="1" applyBorder="1" applyAlignment="1">
      <alignment horizontal="right"/>
    </xf>
    <xf numFmtId="6" fontId="11" fillId="0" borderId="0" xfId="0" applyNumberFormat="1" applyFont="1" applyFill="1" applyBorder="1" applyAlignment="1">
      <alignment horizontal="right"/>
    </xf>
    <xf numFmtId="6" fontId="18" fillId="0" borderId="0" xfId="4" applyNumberFormat="1" applyFont="1" applyFill="1" applyBorder="1" applyAlignment="1">
      <alignment horizontal="right" vertical="center" indent="1"/>
    </xf>
    <xf numFmtId="164" fontId="18" fillId="0" borderId="0" xfId="6" applyNumberFormat="1" applyFont="1" applyFill="1" applyBorder="1" applyAlignment="1">
      <alignment horizontal="right" vertical="center" indent="1"/>
    </xf>
    <xf numFmtId="9" fontId="0" fillId="0" borderId="0" xfId="0" applyNumberFormat="1"/>
    <xf numFmtId="0" fontId="23" fillId="13" borderId="0" xfId="0" applyFont="1" applyFill="1"/>
    <xf numFmtId="0" fontId="0" fillId="0" borderId="0" xfId="0" applyFont="1" applyFill="1"/>
    <xf numFmtId="0" fontId="0" fillId="0" borderId="0" xfId="0" applyFill="1"/>
    <xf numFmtId="0" fontId="27" fillId="0" borderId="0" xfId="0" applyFont="1" applyFill="1"/>
    <xf numFmtId="9" fontId="0" fillId="0" borderId="0" xfId="0" applyNumberFormat="1" applyFont="1"/>
    <xf numFmtId="165" fontId="21" fillId="0" borderId="0" xfId="4" applyNumberFormat="1" applyFont="1" applyFill="1" applyBorder="1" applyAlignment="1">
      <alignment horizontal="right" vertical="center" indent="1"/>
    </xf>
    <xf numFmtId="6" fontId="29" fillId="0" borderId="0" xfId="0" applyNumberFormat="1" applyFont="1" applyFill="1" applyBorder="1" applyAlignment="1">
      <alignment horizontal="left" indent="2"/>
    </xf>
    <xf numFmtId="6" fontId="29" fillId="0" borderId="0" xfId="0" applyNumberFormat="1" applyFont="1" applyFill="1" applyBorder="1"/>
    <xf numFmtId="0" fontId="29" fillId="0" borderId="0" xfId="0" applyFont="1" applyFill="1" applyBorder="1" applyAlignment="1">
      <alignment horizontal="left" indent="2"/>
    </xf>
    <xf numFmtId="0" fontId="29" fillId="0" borderId="0" xfId="0" applyNumberFormat="1" applyFont="1" applyFill="1" applyBorder="1" applyAlignment="1">
      <alignment horizontal="left" indent="2"/>
    </xf>
    <xf numFmtId="6" fontId="30" fillId="0" borderId="0" xfId="0" applyNumberFormat="1" applyFont="1" applyFill="1" applyBorder="1" applyAlignment="1">
      <alignment horizontal="left" indent="2"/>
    </xf>
    <xf numFmtId="0" fontId="0" fillId="0" borderId="0" xfId="0" applyNumberFormat="1" applyFont="1" applyFill="1" applyAlignment="1">
      <alignment horizontal="left" indent="2"/>
    </xf>
    <xf numFmtId="0" fontId="30" fillId="0" borderId="0" xfId="0" applyNumberFormat="1" applyFont="1" applyFill="1" applyBorder="1" applyAlignment="1">
      <alignment horizontal="left" indent="2"/>
    </xf>
    <xf numFmtId="0" fontId="0" fillId="0" borderId="0" xfId="4" applyNumberFormat="1" applyFont="1" applyFill="1" applyBorder="1" applyAlignment="1">
      <alignment horizontal="left" indent="2"/>
    </xf>
    <xf numFmtId="165" fontId="21" fillId="0" borderId="0" xfId="4" applyNumberFormat="1" applyFont="1" applyFill="1" applyBorder="1" applyAlignment="1">
      <alignment horizontal="right" vertical="center"/>
    </xf>
    <xf numFmtId="165" fontId="21" fillId="0" borderId="0" xfId="4" applyNumberFormat="1" applyFont="1" applyFill="1" applyBorder="1" applyAlignment="1">
      <alignment vertical="center"/>
    </xf>
    <xf numFmtId="165" fontId="18" fillId="0" borderId="0" xfId="4" applyNumberFormat="1" applyFont="1" applyFill="1" applyBorder="1" applyAlignment="1">
      <alignment vertical="center"/>
    </xf>
    <xf numFmtId="165" fontId="21" fillId="0" borderId="0" xfId="0" applyNumberFormat="1" applyFont="1" applyFill="1" applyBorder="1" applyAlignment="1"/>
    <xf numFmtId="6" fontId="31" fillId="0" borderId="0" xfId="0" applyNumberFormat="1" applyFont="1" applyFill="1" applyBorder="1" applyAlignment="1">
      <alignment horizontal="left" indent="2"/>
    </xf>
    <xf numFmtId="6" fontId="31" fillId="0" borderId="0" xfId="0" applyNumberFormat="1" applyFont="1" applyFill="1" applyBorder="1"/>
    <xf numFmtId="0" fontId="31" fillId="0" borderId="0" xfId="0" applyNumberFormat="1" applyFont="1" applyFill="1" applyAlignment="1">
      <alignment horizontal="left" indent="2"/>
    </xf>
    <xf numFmtId="6" fontId="0" fillId="0" borderId="0" xfId="4" applyNumberFormat="1" applyFont="1" applyFill="1" applyBorder="1" applyAlignment="1">
      <alignment horizontal="left" indent="2"/>
    </xf>
    <xf numFmtId="6" fontId="0" fillId="0" borderId="0" xfId="0" applyNumberFormat="1" applyFont="1" applyFill="1" applyAlignment="1">
      <alignment horizontal="left" indent="2"/>
    </xf>
    <xf numFmtId="6" fontId="31" fillId="0" borderId="0" xfId="0" applyNumberFormat="1" applyFont="1" applyFill="1" applyAlignment="1">
      <alignment horizontal="left" indent="2"/>
    </xf>
    <xf numFmtId="6" fontId="32" fillId="0" borderId="0" xfId="0" applyNumberFormat="1" applyFont="1" applyFill="1" applyBorder="1" applyAlignment="1">
      <alignment horizontal="right"/>
    </xf>
    <xf numFmtId="6" fontId="21" fillId="0" borderId="0" xfId="4" applyNumberFormat="1" applyFont="1" applyFill="1" applyBorder="1" applyAlignment="1">
      <alignment horizontal="left" vertical="center" indent="1"/>
    </xf>
    <xf numFmtId="6" fontId="11" fillId="4" borderId="8" xfId="0" applyNumberFormat="1" applyFont="1" applyFill="1" applyBorder="1" applyAlignment="1">
      <alignment horizontal="right"/>
    </xf>
    <xf numFmtId="0" fontId="6" fillId="8" borderId="8" xfId="0" applyFont="1" applyFill="1" applyBorder="1"/>
    <xf numFmtId="10" fontId="6" fillId="8" borderId="8" xfId="0" applyNumberFormat="1" applyFont="1" applyFill="1" applyBorder="1"/>
    <xf numFmtId="6" fontId="6" fillId="8" borderId="8" xfId="0" applyNumberFormat="1" applyFont="1" applyFill="1" applyBorder="1"/>
    <xf numFmtId="0" fontId="31" fillId="0" borderId="0" xfId="0" applyFont="1" applyFill="1" applyBorder="1" applyAlignment="1">
      <alignment horizontal="left" indent="2"/>
    </xf>
    <xf numFmtId="8" fontId="31" fillId="0" borderId="0" xfId="0" applyNumberFormat="1" applyFont="1" applyFill="1" applyBorder="1"/>
    <xf numFmtId="6" fontId="11" fillId="0" borderId="1" xfId="0" applyNumberFormat="1" applyFont="1" applyFill="1" applyBorder="1" applyAlignment="1">
      <alignment horizontal="right"/>
    </xf>
    <xf numFmtId="0" fontId="16" fillId="0" borderId="0" xfId="4" applyNumberFormat="1" applyFont="1" applyFill="1" applyBorder="1" applyAlignment="1">
      <alignment vertical="center"/>
    </xf>
    <xf numFmtId="6" fontId="33" fillId="0" borderId="0" xfId="0" applyNumberFormat="1" applyFont="1" applyFill="1" applyBorder="1" applyAlignment="1">
      <alignment horizontal="left" indent="2"/>
    </xf>
    <xf numFmtId="6" fontId="34" fillId="0" borderId="0" xfId="0" applyNumberFormat="1" applyFont="1" applyFill="1" applyBorder="1" applyAlignment="1">
      <alignment horizontal="right"/>
    </xf>
    <xf numFmtId="6" fontId="21" fillId="0" borderId="0" xfId="4" applyNumberFormat="1" applyFont="1" applyFill="1" applyBorder="1" applyAlignment="1">
      <alignment horizontal="right" indent="1"/>
    </xf>
    <xf numFmtId="6" fontId="18" fillId="0" borderId="0" xfId="4" applyNumberFormat="1" applyFont="1" applyFill="1" applyBorder="1" applyAlignment="1">
      <alignment horizontal="right" indent="1"/>
    </xf>
    <xf numFmtId="0" fontId="33" fillId="0" borderId="0" xfId="0" applyNumberFormat="1" applyFont="1" applyFill="1" applyBorder="1" applyAlignment="1">
      <alignment horizontal="left" indent="2"/>
    </xf>
    <xf numFmtId="164" fontId="34" fillId="0" borderId="0" xfId="6" applyNumberFormat="1" applyFont="1" applyFill="1" applyBorder="1" applyAlignment="1">
      <alignment horizontal="right" vertical="center" indent="1"/>
    </xf>
    <xf numFmtId="0" fontId="6" fillId="14" borderId="8" xfId="0" applyFont="1" applyFill="1" applyBorder="1"/>
    <xf numFmtId="44" fontId="4" fillId="14" borderId="8" xfId="6" applyFont="1" applyFill="1" applyBorder="1"/>
    <xf numFmtId="0" fontId="24" fillId="11" borderId="2" xfId="0" applyNumberFormat="1" applyFont="1" applyFill="1" applyBorder="1" applyAlignment="1">
      <alignment horizontal="left" indent="1"/>
    </xf>
    <xf numFmtId="6" fontId="23" fillId="4" borderId="2" xfId="0" applyNumberFormat="1" applyFont="1" applyFill="1" applyBorder="1" applyAlignment="1">
      <alignment horizontal="right"/>
    </xf>
    <xf numFmtId="6" fontId="24" fillId="11" borderId="8" xfId="0" applyNumberFormat="1" applyFont="1" applyFill="1" applyBorder="1" applyAlignment="1">
      <alignment horizontal="left" indent="1"/>
    </xf>
    <xf numFmtId="6" fontId="23" fillId="4" borderId="8" xfId="0" applyNumberFormat="1" applyFont="1" applyFill="1" applyBorder="1" applyAlignment="1">
      <alignment horizontal="right"/>
    </xf>
    <xf numFmtId="6" fontId="23" fillId="5" borderId="2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left" indent="2"/>
    </xf>
    <xf numFmtId="6" fontId="23" fillId="5" borderId="8" xfId="0" applyNumberFormat="1" applyFont="1" applyFill="1" applyBorder="1" applyAlignment="1">
      <alignment horizontal="right"/>
    </xf>
    <xf numFmtId="6" fontId="23" fillId="12" borderId="2" xfId="0" applyNumberFormat="1" applyFont="1" applyFill="1" applyBorder="1" applyAlignment="1">
      <alignment horizontal="right"/>
    </xf>
    <xf numFmtId="6" fontId="23" fillId="12" borderId="8" xfId="0" applyNumberFormat="1" applyFont="1" applyFill="1" applyBorder="1" applyAlignment="1">
      <alignment horizontal="right"/>
    </xf>
    <xf numFmtId="6" fontId="6" fillId="0" borderId="7" xfId="0" applyNumberFormat="1" applyFont="1" applyBorder="1" applyAlignment="1">
      <alignment horizontal="center"/>
    </xf>
    <xf numFmtId="6" fontId="4" fillId="0" borderId="7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8" fontId="0" fillId="0" borderId="0" xfId="0" applyNumberFormat="1" applyFont="1" applyFill="1" applyBorder="1" applyAlignment="1"/>
    <xf numFmtId="165" fontId="0" fillId="0" borderId="0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6" fontId="28" fillId="0" borderId="0" xfId="0" applyNumberFormat="1" applyFont="1" applyFill="1" applyBorder="1" applyAlignment="1">
      <alignment horizontal="left" indent="2"/>
    </xf>
    <xf numFmtId="6" fontId="28" fillId="0" borderId="0" xfId="4" applyNumberFormat="1" applyFont="1" applyFill="1" applyBorder="1" applyAlignment="1">
      <alignment horizontal="left" vertical="center" indent="1"/>
    </xf>
    <xf numFmtId="6" fontId="0" fillId="0" borderId="0" xfId="4" applyNumberFormat="1" applyFont="1" applyFill="1" applyBorder="1" applyAlignment="1">
      <alignment horizontal="left" vertical="center" indent="1"/>
    </xf>
    <xf numFmtId="0" fontId="1" fillId="0" borderId="0" xfId="0" applyFont="1" applyFill="1" applyBorder="1"/>
  </cellXfs>
  <cellStyles count="7">
    <cellStyle name="Currency" xfId="6" builtinId="4"/>
    <cellStyle name="Explanatory Text" xfId="5" builtinId="53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Normal" xfId="0" builtinId="0" customBuiltin="1"/>
  </cellStyles>
  <dxfs count="6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numFmt numFmtId="165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solid">
          <fgColor indexed="64"/>
          <bgColor theme="0" tint="-0.1499679555650502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0" formatCode="General"/>
      <alignment horizontal="left" vertical="bottom" textRotation="0" wrapText="0" indent="2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border outline="0">
        <top style="thin">
          <color theme="3" tint="0.24994659260841701"/>
        </top>
      </border>
    </dxf>
    <dxf>
      <border outline="0">
        <top style="thin">
          <color theme="5" tint="-0.499984740745262"/>
        </top>
        <bottom style="medium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alignment horizontal="right" vertical="bottom" textRotation="0" wrapText="0" indent="0" justifyLastLine="0" shrinkToFit="0" readingOrder="0"/>
    </dxf>
    <dxf>
      <border outline="0">
        <bottom style="thin">
          <color theme="5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0.89996032593768116"/>
        <name val="Microsoft Sans Serif"/>
        <scheme val="maj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Trebuchet MS"/>
        <scheme val="minor"/>
      </font>
      <numFmt numFmtId="164" formatCode="_(&quot;$&quot;* #,##0_);_(&quot;$&quot;* \(#,##0\);_(&quot;$&quot;* &quot;-&quot;??_);_(@_)"/>
      <alignment horizontal="right" textRotation="0" wrapText="0" justifyLastLine="0" shrinkToFit="0" readingOrder="0"/>
    </dxf>
    <dxf>
      <numFmt numFmtId="165" formatCode="&quot;$&quot;#,##0"/>
    </dxf>
    <dxf>
      <numFmt numFmtId="12" formatCode="&quot;$&quot;#,##0.00_);[Red]\(&quot;$&quot;#,##0.00\)"/>
      <alignment horizontal="general" textRotation="0" wrapText="0" indent="0" justifyLastLine="0" shrinkToFit="0" readingOrder="0"/>
    </dxf>
    <dxf>
      <numFmt numFmtId="12" formatCode="&quot;$&quot;#,##0.00_);[Red]\(&quot;$&quot;#,##0.00\)"/>
      <alignment horizontal="general" textRotation="0" wrapText="0" indent="0" justifyLastLine="0" shrinkToFit="0" readingOrder="0"/>
    </dxf>
    <dxf>
      <numFmt numFmtId="12" formatCode="&quot;$&quot;#,##0.00_);[Red]\(&quot;$&quot;#,##0.00\)"/>
      <alignment horizontal="right" textRotation="0" wrapText="0" indent="0" justifyLastLine="0" shrinkToFit="0" readingOrder="0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65" formatCode="&quot;$&quot;#,##0"/>
    </dxf>
    <dxf>
      <numFmt numFmtId="165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solid">
          <fgColor indexed="64"/>
          <bgColor theme="0" tint="-0.1499679555650502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0" formatCode="General"/>
      <alignment horizontal="left" vertical="bottom" textRotation="0" wrapText="0" indent="2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border outline="0">
        <top style="thin">
          <color theme="3" tint="0.24994659260841701"/>
        </top>
      </border>
    </dxf>
    <dxf>
      <border outline="0">
        <top style="thin">
          <color theme="5" tint="-0.499984740745262"/>
        </top>
        <bottom style="medium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alignment horizontal="right" vertical="bottom" textRotation="0" wrapText="0" indent="0" justifyLastLine="0" shrinkToFit="0" readingOrder="0"/>
    </dxf>
    <dxf>
      <border outline="0">
        <bottom style="thin">
          <color theme="5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0.89996032593768116"/>
        <name val="Microsoft Sans Serif"/>
        <scheme val="major"/>
      </font>
      <numFmt numFmtId="0" formatCode="General"/>
    </dxf>
    <dxf>
      <numFmt numFmtId="10" formatCode="&quot;$&quot;#,##0_);[Red]\(&quot;$&quot;#,##0\)"/>
    </dxf>
    <dxf>
      <numFmt numFmtId="10" formatCode="&quot;$&quot;#,##0_);[Red]\(&quot;$&quot;#,##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2" formatCode="&quot;$&quot;#,##0.00_);[Red]\(&quot;$&quot;#,##0.00\)"/>
    </dxf>
    <dxf>
      <numFmt numFmtId="10" formatCode="&quot;$&quot;#,##0_);[Red]\(&quot;$&quot;#,##0\)"/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9"/>
        <color auto="1"/>
        <name val="Trebuchet MS"/>
        <scheme val="minor"/>
      </font>
      <numFmt numFmtId="10" formatCode="&quot;$&quot;#,##0_);[Red]\(&quot;$&quot;#,##0\)"/>
      <alignment horizontal="right" textRotation="0" wrapText="0" justifyLastLine="0" shrinkToFit="0" readingOrder="0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fill>
        <patternFill patternType="solid">
          <fgColor indexed="64"/>
          <bgColor theme="0" tint="-0.1499679555650502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left" vertical="bottom" textRotation="0" wrapText="0" indent="2" justifyLastLine="0" shrinkToFit="0" readingOrder="0"/>
      <border diagonalUp="0" diagonalDown="0" outline="0"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</border>
    </dxf>
    <dxf>
      <border outline="0">
        <top style="thin">
          <color theme="3" tint="0.24994659260841701"/>
        </top>
      </border>
    </dxf>
    <dxf>
      <numFmt numFmtId="10" formatCode="&quot;$&quot;#,##0_);[Red]\(&quot;$&quot;#,##0\)"/>
    </dxf>
    <dxf>
      <border outline="0">
        <top style="thin">
          <color theme="5" tint="-0.499984740745262"/>
        </top>
        <bottom style="medium">
          <color theme="3" tint="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scheme val="minor"/>
      </font>
      <numFmt numFmtId="10" formatCode="&quot;$&quot;#,##0_);[Red]\(&quot;$&quot;#,##0\)"/>
      <alignment horizontal="right" vertical="bottom" textRotation="0" wrapText="0" indent="0" justifyLastLine="0" shrinkToFit="0" readingOrder="0"/>
    </dxf>
    <dxf>
      <border outline="0">
        <bottom style="thin">
          <color theme="5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0.89996032593768116"/>
        <name val="Microsoft Sans Serif"/>
        <scheme val="major"/>
      </font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 tint="0.24994659260841701"/>
        <name val="Trebuchet MS"/>
        <family val="2"/>
        <scheme val="minor"/>
      </font>
      <numFmt numFmtId="10" formatCode="&quot;$&quot;#,##0_);[Red]\(&quot;$&quot;#,##0\)"/>
      <fill>
        <patternFill patternType="none">
          <fgColor indexed="64"/>
          <bgColor indexed="65"/>
        </patternFill>
      </fill>
      <alignment horizontal="left" vertical="bottom" textRotation="0" wrapText="0" indent="2" justifyLastLine="0" shrinkToFit="0" readingOrder="0"/>
      <border diagonalUp="0" diagonalDown="0" outline="0">
        <left/>
        <right/>
        <top/>
        <bottom/>
      </border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numFmt numFmtId="10" formatCode="&quot;$&quot;#,##0_);[Red]\(&quot;$&quot;#,##0\)"/>
    </dxf>
    <dxf>
      <font>
        <color theme="1" tint="0.24994659260841701"/>
      </font>
      <fill>
        <patternFill patternType="solid">
          <fgColor theme="0" tint="-0.14996795556505021"/>
          <bgColor theme="3" tint="0.89996032593768116"/>
        </patternFill>
      </fill>
    </dxf>
    <dxf>
      <font>
        <b val="0"/>
        <i val="0"/>
        <color theme="1" tint="0.24994659260841701"/>
      </font>
      <fill>
        <patternFill>
          <bgColor theme="0" tint="-0.14996795556505021"/>
        </patternFill>
      </fill>
    </dxf>
    <dxf>
      <font>
        <b/>
        <i val="0"/>
        <color theme="1" tint="0.24994659260841701"/>
      </font>
      <fill>
        <patternFill>
          <bgColor theme="0" tint="-0.14996795556505021"/>
        </patternFill>
      </fill>
      <border>
        <top style="thin">
          <color theme="1"/>
        </top>
      </border>
    </dxf>
    <dxf>
      <font>
        <color theme="1" tint="0.24994659260841701"/>
      </font>
      <fill>
        <patternFill>
          <bgColor theme="3" tint="0.89996032593768116"/>
        </patternFill>
      </fill>
      <border>
        <bottom style="thin">
          <color theme="1"/>
        </bottom>
        <vertical/>
        <horizontal/>
      </border>
    </dxf>
    <dxf>
      <font>
        <b val="0"/>
        <i val="0"/>
        <color theme="1" tint="0.24994659260841701"/>
      </font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thin">
          <color theme="3" tint="0.24994659260841701"/>
        </vertical>
        <horizontal style="thin">
          <color theme="3" tint="0.24994659260841701"/>
        </horizontal>
      </border>
    </dxf>
  </dxfs>
  <tableStyles count="1" defaultTableStyle="Detailed expense estimates Table" defaultPivotStyle="PivotStyleLight16">
    <tableStyle name="Detailed expense estimates Table" pivot="0" count="5" xr9:uid="{00000000-0011-0000-FFFF-FFFF00000000}">
      <tableStyleElement type="wholeTable" dxfId="610"/>
      <tableStyleElement type="headerRow" dxfId="609"/>
      <tableStyleElement type="totalRow" dxfId="608"/>
      <tableStyleElement type="lastColumn" dxfId="607"/>
      <tableStyleElement type="firstRowStripe" dxfId="606"/>
    </tableStyle>
  </tableStyles>
  <colors>
    <mruColors>
      <color rgb="FF99CCFF"/>
      <color rgb="FFFFCC99"/>
      <color rgb="FF800080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0</xdr:row>
      <xdr:rowOff>57150</xdr:rowOff>
    </xdr:from>
    <xdr:to>
      <xdr:col>11</xdr:col>
      <xdr:colOff>847725</xdr:colOff>
      <xdr:row>3</xdr:row>
      <xdr:rowOff>142875</xdr:rowOff>
    </xdr:to>
    <xdr:sp macro="" textlink="">
      <xdr:nvSpPr>
        <xdr:cNvPr id="2" name="Rectangle 1" descr="Tip on how to use this template." title="Tip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3514725" y="57150"/>
          <a:ext cx="7477125" cy="790575"/>
        </a:xfrm>
        <a:prstGeom prst="rect">
          <a:avLst/>
        </a:prstGeom>
        <a:solidFill>
          <a:schemeClr val="tx2">
            <a:lumMod val="25000"/>
            <a:lumOff val="75000"/>
          </a:schemeClr>
        </a:solidFill>
        <a:ln w="19050">
          <a:solidFill>
            <a:schemeClr val="tx2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000">
            <a:solidFill>
              <a:schemeClr val="tx1">
                <a:lumMod val="75000"/>
                <a:lumOff val="25000"/>
              </a:schemeClr>
            </a:solidFill>
            <a:latin typeface="+mn-lt"/>
          </a:endParaRPr>
        </a:p>
        <a:p>
          <a:pPr algn="l"/>
          <a:r>
            <a:rPr lang="en-US" sz="1000">
              <a:solidFill>
                <a:schemeClr val="tx1">
                  <a:lumMod val="75000"/>
                  <a:lumOff val="25000"/>
                </a:schemeClr>
              </a:solidFill>
              <a:latin typeface="+mn-lt"/>
            </a:rPr>
            <a:t>Input data in the white cells on the PLANNED EXPENSES and ACTUAL EXPENSES worksheets, and the EXPENSE VARIANCES will be calculated for you.  If you add a row on one sheet, the</a:t>
          </a:r>
          <a:r>
            <a:rPr lang="en-US" sz="10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</a:rPr>
            <a:t> other sheets need to match.</a:t>
          </a:r>
          <a:endParaRPr lang="en-US" sz="1000">
            <a:solidFill>
              <a:schemeClr val="tx1">
                <a:lumMod val="75000"/>
                <a:lumOff val="25000"/>
              </a:schemeClr>
            </a:solidFill>
            <a:latin typeface="+mn-lt"/>
          </a:endParaRPr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OffPlan" displayName="tblOffPlan" ref="A53:N73" totalsRowCount="1" headerRowDxfId="605" dataDxfId="604" totalsRowDxfId="603">
  <autoFilter ref="A53:N72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00000000-0010-0000-0000-000001000000}" name="Office Costs" totalsRowLabel="Subtotal" dataDxfId="602" totalsRowDxfId="601"/>
    <tableColumn id="2" xr3:uid="{00000000-0010-0000-0000-000002000000}" name="Jan" totalsRowFunction="sum" dataDxfId="600" totalsRowDxfId="599"/>
    <tableColumn id="3" xr3:uid="{00000000-0010-0000-0000-000003000000}" name="Feb" totalsRowFunction="sum" dataDxfId="598" totalsRowDxfId="597"/>
    <tableColumn id="4" xr3:uid="{00000000-0010-0000-0000-000004000000}" name="Mar" totalsRowFunction="sum" dataDxfId="596" totalsRowDxfId="595"/>
    <tableColumn id="5" xr3:uid="{00000000-0010-0000-0000-000005000000}" name="Apr" totalsRowFunction="sum" dataDxfId="594" totalsRowDxfId="593"/>
    <tableColumn id="6" xr3:uid="{00000000-0010-0000-0000-000006000000}" name="May" totalsRowFunction="sum" dataDxfId="592" totalsRowDxfId="591"/>
    <tableColumn id="7" xr3:uid="{00000000-0010-0000-0000-000007000000}" name="Jun" totalsRowFunction="sum" dataDxfId="590" totalsRowDxfId="589"/>
    <tableColumn id="8" xr3:uid="{00000000-0010-0000-0000-000008000000}" name="Jul" totalsRowFunction="sum" dataDxfId="588" totalsRowDxfId="587"/>
    <tableColumn id="9" xr3:uid="{00000000-0010-0000-0000-000009000000}" name="Aug" totalsRowFunction="sum" dataDxfId="586" totalsRowDxfId="585"/>
    <tableColumn id="10" xr3:uid="{00000000-0010-0000-0000-00000A000000}" name="Sep" totalsRowFunction="sum" dataDxfId="584" totalsRowDxfId="583"/>
    <tableColumn id="11" xr3:uid="{00000000-0010-0000-0000-00000B000000}" name="Oct" totalsRowFunction="sum" dataDxfId="582" totalsRowDxfId="581"/>
    <tableColumn id="12" xr3:uid="{00000000-0010-0000-0000-00000C000000}" name="Nov" totalsRowFunction="sum" dataDxfId="580" totalsRowDxfId="579"/>
    <tableColumn id="13" xr3:uid="{00000000-0010-0000-0000-00000D000000}" name="Dec" totalsRowFunction="sum" dataDxfId="578" totalsRowDxfId="577"/>
    <tableColumn id="14" xr3:uid="{00000000-0010-0000-0000-00000E000000}" name="YEAR" totalsRowFunction="sum" dataDxfId="576" totalsRowDxfId="575">
      <calculatedColumnFormula>SUM(B54:M54)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Office costs table" altTextSummary="Enter office planned costs per month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MarkPlan" displayName="tblMarkPlan" ref="A75:N86" totalsRowCount="1" headerRowDxfId="574" dataDxfId="573" totalsRowDxfId="572">
  <autoFilter ref="A75:N85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00000000-0010-0000-0100-000001000000}" name="Marketing and Sales Costs" totalsRowLabel="Subtotal" dataDxfId="571" totalsRowDxfId="570"/>
    <tableColumn id="2" xr3:uid="{00000000-0010-0000-0100-000002000000}" name="Jan" totalsRowFunction="custom" dataDxfId="569" totalsRowDxfId="568">
      <totalsRowFormula>SUM(B77:B85)</totalsRowFormula>
    </tableColumn>
    <tableColumn id="3" xr3:uid="{00000000-0010-0000-0100-000003000000}" name="Feb" totalsRowFunction="custom" dataDxfId="567" totalsRowDxfId="566">
      <totalsRowFormula>SUM(C77:C85)</totalsRowFormula>
    </tableColumn>
    <tableColumn id="4" xr3:uid="{00000000-0010-0000-0100-000004000000}" name="Mar" totalsRowFunction="custom" dataDxfId="565" totalsRowDxfId="564">
      <totalsRowFormula>SUM(D77:D85)</totalsRowFormula>
    </tableColumn>
    <tableColumn id="5" xr3:uid="{00000000-0010-0000-0100-000005000000}" name="Apr" totalsRowFunction="custom" dataDxfId="563" totalsRowDxfId="562">
      <totalsRowFormula>SUM(E77:E85)</totalsRowFormula>
    </tableColumn>
    <tableColumn id="6" xr3:uid="{00000000-0010-0000-0100-000006000000}" name="May" totalsRowFunction="custom" dataDxfId="561" totalsRowDxfId="560">
      <totalsRowFormula>SUM(F77:F85)</totalsRowFormula>
    </tableColumn>
    <tableColumn id="7" xr3:uid="{00000000-0010-0000-0100-000007000000}" name="Jun" totalsRowFunction="custom" dataDxfId="559" totalsRowDxfId="558">
      <totalsRowFormula>SUM(G77:G85)</totalsRowFormula>
    </tableColumn>
    <tableColumn id="8" xr3:uid="{00000000-0010-0000-0100-000008000000}" name="Jul" totalsRowFunction="custom" dataDxfId="557" totalsRowDxfId="556">
      <totalsRowFormula>SUM(H77:H85)</totalsRowFormula>
    </tableColumn>
    <tableColumn id="9" xr3:uid="{00000000-0010-0000-0100-000009000000}" name="Aug" totalsRowFunction="custom" dataDxfId="555" totalsRowDxfId="554">
      <totalsRowFormula>SUM(I77:I85)</totalsRowFormula>
    </tableColumn>
    <tableColumn id="10" xr3:uid="{00000000-0010-0000-0100-00000A000000}" name="Sep" totalsRowFunction="custom" dataDxfId="553" totalsRowDxfId="552">
      <totalsRowFormula>SUM(J77:J85)</totalsRowFormula>
    </tableColumn>
    <tableColumn id="11" xr3:uid="{00000000-0010-0000-0100-00000B000000}" name="Oct" totalsRowFunction="custom" dataDxfId="551" totalsRowDxfId="550">
      <totalsRowFormula>SUM(K77:K85)</totalsRowFormula>
    </tableColumn>
    <tableColumn id="12" xr3:uid="{00000000-0010-0000-0100-00000C000000}" name="Nov" totalsRowFunction="custom" dataDxfId="549" totalsRowDxfId="548">
      <totalsRowFormula>SUM(L77:L85)</totalsRowFormula>
    </tableColumn>
    <tableColumn id="13" xr3:uid="{00000000-0010-0000-0100-00000D000000}" name="Dec" totalsRowFunction="custom" dataDxfId="547" totalsRowDxfId="546">
      <totalsRowFormula>SUM(M77:M85)</totalsRowFormula>
    </tableColumn>
    <tableColumn id="14" xr3:uid="{00000000-0010-0000-0100-00000E000000}" name="YEAR" totalsRowFunction="custom" dataDxfId="545" totalsRowDxfId="544">
      <calculatedColumnFormula>SUM(B76:M76)</calculatedColumnFormula>
      <totalsRowFormula>SUM(N77:N85)</totalsRow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Marketing costs table" altTextSummary="Enter marketing planned costs per month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TrainPlan" displayName="tblTrainPlan" ref="A88:N91" totalsRowCount="1" headerRowDxfId="543" dataDxfId="541" totalsRowDxfId="539" headerRowBorderDxfId="542" tableBorderDxfId="540" totalsRowBorderDxfId="538" headerRowCellStyle="Heading 4">
  <autoFilter ref="A88:N90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00000000-0010-0000-0200-000001000000}" name="Automobile Costs" totalsRowLabel="Subtotal" dataDxfId="537" totalsRowDxfId="536"/>
    <tableColumn id="2" xr3:uid="{00000000-0010-0000-0200-000002000000}" name="Jan" totalsRowFunction="sum" dataDxfId="535" totalsRowDxfId="534"/>
    <tableColumn id="3" xr3:uid="{00000000-0010-0000-0200-000003000000}" name="Feb" totalsRowFunction="sum" dataDxfId="533" totalsRowDxfId="532"/>
    <tableColumn id="4" xr3:uid="{00000000-0010-0000-0200-000004000000}" name="Mar" totalsRowFunction="sum" dataDxfId="531" totalsRowDxfId="530"/>
    <tableColumn id="5" xr3:uid="{00000000-0010-0000-0200-000005000000}" name="Apr" totalsRowFunction="sum" dataDxfId="529" totalsRowDxfId="528"/>
    <tableColumn id="6" xr3:uid="{00000000-0010-0000-0200-000006000000}" name="May" totalsRowFunction="sum" dataDxfId="527" totalsRowDxfId="526"/>
    <tableColumn id="7" xr3:uid="{00000000-0010-0000-0200-000007000000}" name="Jun" totalsRowFunction="sum" dataDxfId="525" totalsRowDxfId="524"/>
    <tableColumn id="8" xr3:uid="{00000000-0010-0000-0200-000008000000}" name="Jul" totalsRowFunction="sum" dataDxfId="523" totalsRowDxfId="522"/>
    <tableColumn id="9" xr3:uid="{00000000-0010-0000-0200-000009000000}" name="Aug" totalsRowFunction="sum" dataDxfId="521" totalsRowDxfId="520"/>
    <tableColumn id="10" xr3:uid="{00000000-0010-0000-0200-00000A000000}" name="Sep" totalsRowFunction="sum" dataDxfId="519" totalsRowDxfId="518"/>
    <tableColumn id="11" xr3:uid="{00000000-0010-0000-0200-00000B000000}" name="Oct" totalsRowFunction="sum" dataDxfId="517" totalsRowDxfId="516"/>
    <tableColumn id="12" xr3:uid="{00000000-0010-0000-0200-00000C000000}" name="Nov" totalsRowFunction="sum" dataDxfId="515" totalsRowDxfId="514"/>
    <tableColumn id="13" xr3:uid="{00000000-0010-0000-0200-00000D000000}" name="Dec" totalsRowFunction="sum" dataDxfId="513" totalsRowDxfId="512"/>
    <tableColumn id="14" xr3:uid="{00000000-0010-0000-0200-00000E000000}" name="YEAR" totalsRowFunction="sum" dataDxfId="511" totalsRowDxfId="510">
      <calculatedColumnFormula>SUM(B89:M89)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raining/Travel table" altTextSummary="Enter training/travel planned costs per month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blEmplPlan" displayName="tblEmplPlan" ref="A47:N51" totalsRowCount="1" headerRowDxfId="509" dataDxfId="508" totalsRowDxfId="507">
  <autoFilter ref="A47:N50" xr:uid="{00000000-0009-0000-0100-000007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00000000-0010-0000-0300-000001000000}" name="Admin Employee Costs" totalsRowLabel="Subtotal" dataDxfId="506" totalsRowDxfId="13"/>
    <tableColumn id="2" xr3:uid="{00000000-0010-0000-0300-000002000000}" name="Jan" totalsRowFunction="custom" dataDxfId="505" totalsRowDxfId="12">
      <totalsRowFormula>SUM(tblEmplPlan[Jan])</totalsRowFormula>
    </tableColumn>
    <tableColumn id="3" xr3:uid="{00000000-0010-0000-0300-000003000000}" name="Feb" totalsRowFunction="custom" dataDxfId="504" totalsRowDxfId="11">
      <totalsRowFormula>SUM(tblEmplPlan[Feb])</totalsRowFormula>
    </tableColumn>
    <tableColumn id="4" xr3:uid="{00000000-0010-0000-0300-000004000000}" name="Mar" totalsRowFunction="custom" dataDxfId="503" totalsRowDxfId="10">
      <totalsRowFormula>SUM(tblEmplPlan[Mar])</totalsRowFormula>
    </tableColumn>
    <tableColumn id="5" xr3:uid="{00000000-0010-0000-0300-000005000000}" name="Apr" totalsRowFunction="custom" dataDxfId="502" totalsRowDxfId="9">
      <totalsRowFormula>SUM(tblEmplPlan[Apr])</totalsRowFormula>
    </tableColumn>
    <tableColumn id="6" xr3:uid="{00000000-0010-0000-0300-000006000000}" name="May" totalsRowFunction="custom" dataDxfId="501" totalsRowDxfId="8">
      <totalsRowFormula>SUM(tblEmplPlan[May])</totalsRowFormula>
    </tableColumn>
    <tableColumn id="7" xr3:uid="{00000000-0010-0000-0300-000007000000}" name="Jun" totalsRowFunction="custom" dataDxfId="500" totalsRowDxfId="7">
      <totalsRowFormula>SUM(tblEmplPlan[Jun])</totalsRowFormula>
    </tableColumn>
    <tableColumn id="8" xr3:uid="{00000000-0010-0000-0300-000008000000}" name="Jul" totalsRowFunction="custom" dataDxfId="499" totalsRowDxfId="6">
      <totalsRowFormula>SUM(tblEmplPlan[Jul])</totalsRowFormula>
    </tableColumn>
    <tableColumn id="9" xr3:uid="{00000000-0010-0000-0300-000009000000}" name="Aug" totalsRowFunction="custom" dataDxfId="498" totalsRowDxfId="5">
      <totalsRowFormula>SUM(tblEmplPlan[Aug])</totalsRowFormula>
    </tableColumn>
    <tableColumn id="10" xr3:uid="{00000000-0010-0000-0300-00000A000000}" name="Sep" totalsRowFunction="custom" dataDxfId="497" totalsRowDxfId="4">
      <totalsRowFormula>SUM(tblEmplPlan[Sep])</totalsRowFormula>
    </tableColumn>
    <tableColumn id="11" xr3:uid="{00000000-0010-0000-0300-00000B000000}" name="Oct" totalsRowFunction="custom" dataDxfId="496" totalsRowDxfId="3">
      <totalsRowFormula>SUM(tblEmplPlan[Oct])</totalsRowFormula>
    </tableColumn>
    <tableColumn id="12" xr3:uid="{00000000-0010-0000-0300-00000C000000}" name="Nov" totalsRowFunction="custom" dataDxfId="495" totalsRowDxfId="2">
      <totalsRowFormula>SUM(tblEmplPlan[Nov])</totalsRowFormula>
    </tableColumn>
    <tableColumn id="13" xr3:uid="{00000000-0010-0000-0300-00000D000000}" name="Dec" totalsRowFunction="custom" dataDxfId="494" totalsRowDxfId="1">
      <totalsRowFormula>SUM(tblEmplPlan[Dec])</totalsRowFormula>
    </tableColumn>
    <tableColumn id="14" xr3:uid="{00000000-0010-0000-0300-00000E000000}" name="YEAR" totalsRowFunction="custom" dataDxfId="493" totalsRowDxfId="0">
      <calculatedColumnFormula>SUM(B48:M48)</calculatedColumnFormula>
      <totalsRowFormula>SUM(tblEmplPlan[YEAR])</totalsRow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able" altTextSummary="Enter planned employee costs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4000000}" name="tblEmplPlan14" displayName="tblEmplPlan14" ref="A6:N9" totalsRowCount="1">
  <autoFilter ref="A6:N8" xr:uid="{00000000-0009-0000-0100-00000D000000}"/>
  <tableColumns count="14">
    <tableColumn id="1" xr3:uid="{00000000-0010-0000-0400-000001000000}" name="Product Resell Revenue" totalsRowLabel="Subtotal" dataDxfId="492" totalsRowDxfId="55"/>
    <tableColumn id="2" xr3:uid="{00000000-0010-0000-0400-000002000000}" name="Jan" totalsRowFunction="custom" dataDxfId="491" totalsRowDxfId="54">
      <calculatedColumnFormula>B6*0.27</calculatedColumnFormula>
      <totalsRowFormula>B7+B8</totalsRowFormula>
    </tableColumn>
    <tableColumn id="3" xr3:uid="{00000000-0010-0000-0400-000003000000}" name="Feb" totalsRowFunction="custom" dataDxfId="490" totalsRowDxfId="53">
      <calculatedColumnFormula>C6*0.27</calculatedColumnFormula>
      <totalsRowFormula>C7+C8</totalsRowFormula>
    </tableColumn>
    <tableColumn id="4" xr3:uid="{00000000-0010-0000-0400-000004000000}" name="Mar" totalsRowFunction="custom" dataDxfId="489" totalsRowDxfId="52">
      <calculatedColumnFormula>D6*0.27</calculatedColumnFormula>
      <totalsRowFormula>D7+D8</totalsRowFormula>
    </tableColumn>
    <tableColumn id="5" xr3:uid="{00000000-0010-0000-0400-000005000000}" name="Apr" totalsRowFunction="custom" dataDxfId="488" totalsRowDxfId="51">
      <calculatedColumnFormula>E6*0.27</calculatedColumnFormula>
      <totalsRowFormula>E7+E8</totalsRowFormula>
    </tableColumn>
    <tableColumn id="6" xr3:uid="{00000000-0010-0000-0400-000006000000}" name="May" totalsRowFunction="custom" dataDxfId="487" totalsRowDxfId="50">
      <calculatedColumnFormula>F6*0.27</calculatedColumnFormula>
      <totalsRowFormula>F7+F8</totalsRowFormula>
    </tableColumn>
    <tableColumn id="7" xr3:uid="{00000000-0010-0000-0400-000007000000}" name="Jun" totalsRowFunction="custom" dataDxfId="486" totalsRowDxfId="49">
      <calculatedColumnFormula>G6*0.27</calculatedColumnFormula>
      <totalsRowFormula>G7+G8</totalsRowFormula>
    </tableColumn>
    <tableColumn id="8" xr3:uid="{00000000-0010-0000-0400-000008000000}" name="Jul" totalsRowFunction="custom" dataDxfId="485" totalsRowDxfId="48">
      <calculatedColumnFormula>H6*0.27</calculatedColumnFormula>
      <totalsRowFormula>H7+H8</totalsRowFormula>
    </tableColumn>
    <tableColumn id="9" xr3:uid="{00000000-0010-0000-0400-000009000000}" name="Aug" totalsRowFunction="custom" dataDxfId="484" totalsRowDxfId="47">
      <calculatedColumnFormula>I6*0.27</calculatedColumnFormula>
      <totalsRowFormula>I7+I8</totalsRowFormula>
    </tableColumn>
    <tableColumn id="10" xr3:uid="{00000000-0010-0000-0400-00000A000000}" name="Sep" totalsRowFunction="custom" dataDxfId="483" totalsRowDxfId="46">
      <calculatedColumnFormula>J6*0.27</calculatedColumnFormula>
      <totalsRowFormula>J7+J8</totalsRowFormula>
    </tableColumn>
    <tableColumn id="11" xr3:uid="{00000000-0010-0000-0400-00000B000000}" name="Oct" totalsRowFunction="custom" dataDxfId="482" totalsRowDxfId="45">
      <calculatedColumnFormula>K6*0.27</calculatedColumnFormula>
      <totalsRowFormula>K7+K8</totalsRowFormula>
    </tableColumn>
    <tableColumn id="12" xr3:uid="{00000000-0010-0000-0400-00000C000000}" name="Nov" totalsRowFunction="custom" dataDxfId="481" totalsRowDxfId="44">
      <calculatedColumnFormula>L6*0.27</calculatedColumnFormula>
      <totalsRowFormula>L7+L8</totalsRowFormula>
    </tableColumn>
    <tableColumn id="13" xr3:uid="{00000000-0010-0000-0400-00000D000000}" name="Dec" totalsRowFunction="custom" dataDxfId="480" totalsRowDxfId="43">
      <calculatedColumnFormula>M6*0.27</calculatedColumnFormula>
      <totalsRowFormula>M7+M8</totalsRowFormula>
    </tableColumn>
    <tableColumn id="14" xr3:uid="{00000000-0010-0000-0400-00000E000000}" name="YEAR" totalsRowFunction="custom" dataDxfId="479" totalsRowDxfId="42">
      <calculatedColumnFormula>SUM(B7:M7)</calculatedColumnFormula>
      <totalsRowFormula>N7+N8</totalsRow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able" altTextSummary="Enter planned employee costs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5000000}" name="tblEmplPlan1415" displayName="tblEmplPlan1415" ref="A11:N20" totalsRowCount="1" headerRowDxfId="478" dataDxfId="477" totalsRowDxfId="476">
  <autoFilter ref="A11:N19" xr:uid="{00000000-0009-0000-0100-00000E000000}"/>
  <tableColumns count="14">
    <tableColumn id="1" xr3:uid="{00000000-0010-0000-0500-000001000000}" name="Services Revenue" totalsRowLabel="Subtotal" dataDxfId="475" totalsRowDxfId="41"/>
    <tableColumn id="2" xr3:uid="{00000000-0010-0000-0500-000002000000}" name="Jan" totalsRowFunction="custom" dataDxfId="474" totalsRowDxfId="40">
      <totalsRowFormula>SUM(B12:B19)</totalsRowFormula>
    </tableColumn>
    <tableColumn id="3" xr3:uid="{00000000-0010-0000-0500-000003000000}" name="Feb" totalsRowFunction="custom" dataDxfId="473" totalsRowDxfId="39">
      <totalsRowFormula>SUM(C12:C19)</totalsRowFormula>
    </tableColumn>
    <tableColumn id="4" xr3:uid="{00000000-0010-0000-0500-000004000000}" name="Mar" totalsRowFunction="custom" dataDxfId="472" totalsRowDxfId="38">
      <totalsRowFormula>SUM(D12:D19)</totalsRowFormula>
    </tableColumn>
    <tableColumn id="5" xr3:uid="{00000000-0010-0000-0500-000005000000}" name="Apr" totalsRowFunction="custom" dataDxfId="471" totalsRowDxfId="37">
      <totalsRowFormula>SUM(E12:E19)</totalsRowFormula>
    </tableColumn>
    <tableColumn id="6" xr3:uid="{00000000-0010-0000-0500-000006000000}" name="May" totalsRowFunction="custom" dataDxfId="470" totalsRowDxfId="36">
      <totalsRowFormula>SUM(F12:F19)</totalsRowFormula>
    </tableColumn>
    <tableColumn id="7" xr3:uid="{00000000-0010-0000-0500-000007000000}" name="Jun" totalsRowFunction="custom" dataDxfId="469" totalsRowDxfId="35">
      <totalsRowFormula>SUM(G12:G19)</totalsRowFormula>
    </tableColumn>
    <tableColumn id="8" xr3:uid="{00000000-0010-0000-0500-000008000000}" name="Jul" totalsRowFunction="custom" dataDxfId="468" totalsRowDxfId="34">
      <totalsRowFormula>SUM(H12:H19)</totalsRowFormula>
    </tableColumn>
    <tableColumn id="9" xr3:uid="{00000000-0010-0000-0500-000009000000}" name="Aug" totalsRowFunction="custom" dataDxfId="467" totalsRowDxfId="33">
      <totalsRowFormula>SUM(I12:I19)</totalsRowFormula>
    </tableColumn>
    <tableColumn id="10" xr3:uid="{00000000-0010-0000-0500-00000A000000}" name="Sep" totalsRowFunction="custom" dataDxfId="466" totalsRowDxfId="32">
      <totalsRowFormula>SUM(J12:J19)</totalsRowFormula>
    </tableColumn>
    <tableColumn id="11" xr3:uid="{00000000-0010-0000-0500-00000B000000}" name="Oct" totalsRowFunction="custom" dataDxfId="465" totalsRowDxfId="31">
      <totalsRowFormula>SUM(K12:K19)</totalsRowFormula>
    </tableColumn>
    <tableColumn id="12" xr3:uid="{00000000-0010-0000-0500-00000C000000}" name="Nov" totalsRowFunction="custom" dataDxfId="464" totalsRowDxfId="30">
      <totalsRowFormula>SUM(L12:L19)</totalsRowFormula>
    </tableColumn>
    <tableColumn id="13" xr3:uid="{00000000-0010-0000-0500-00000D000000}" name="Dec" totalsRowFunction="custom" dataDxfId="463" totalsRowDxfId="29">
      <totalsRowFormula>SUM(M12:M19)</totalsRowFormula>
    </tableColumn>
    <tableColumn id="14" xr3:uid="{00000000-0010-0000-0500-00000E000000}" name="YEAR" totalsRowFunction="custom" dataDxfId="462" totalsRowDxfId="28">
      <calculatedColumnFormula>SUM(B12:M12)</calculatedColumnFormula>
      <totalsRowFormula>SUM(tblEmplPlan1415[YEAR])</totalsRow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able" altTextSummary="Enter planned employee costs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6000000}" name="tblEmplPlan141516" displayName="tblEmplPlan141516" ref="A25:N39" totalsRowCount="1" headerRowDxfId="461" dataDxfId="460" totalsRowDxfId="459">
  <autoFilter ref="A25:N38" xr:uid="{00000000-0009-0000-0100-00000F000000}"/>
  <tableColumns count="14">
    <tableColumn id="1" xr3:uid="{00000000-0010-0000-0600-000001000000}" name="COGS" totalsRowLabel="Subtotal COGS" dataDxfId="458" totalsRowDxfId="27"/>
    <tableColumn id="2" xr3:uid="{00000000-0010-0000-0600-000002000000}" name="Jan" totalsRowFunction="custom" dataDxfId="457" totalsRowDxfId="26">
      <totalsRowFormula>SUM(B26:B38)</totalsRowFormula>
    </tableColumn>
    <tableColumn id="3" xr3:uid="{00000000-0010-0000-0600-000003000000}" name="Feb" totalsRowFunction="custom" dataDxfId="456" totalsRowDxfId="25">
      <totalsRowFormula>SUM(C26:C38)</totalsRowFormula>
    </tableColumn>
    <tableColumn id="4" xr3:uid="{00000000-0010-0000-0600-000004000000}" name="Mar" totalsRowFunction="custom" dataDxfId="455" totalsRowDxfId="24">
      <totalsRowFormula>SUM(D26:D38)</totalsRowFormula>
    </tableColumn>
    <tableColumn id="5" xr3:uid="{00000000-0010-0000-0600-000005000000}" name="Apr" totalsRowFunction="custom" dataDxfId="454" totalsRowDxfId="23">
      <totalsRowFormula>SUM(E26:E38)</totalsRowFormula>
    </tableColumn>
    <tableColumn id="6" xr3:uid="{00000000-0010-0000-0600-000006000000}" name="May" totalsRowFunction="custom" dataDxfId="453" totalsRowDxfId="22">
      <totalsRowFormula>SUM(F26:F38)</totalsRowFormula>
    </tableColumn>
    <tableColumn id="7" xr3:uid="{00000000-0010-0000-0600-000007000000}" name="Jun" totalsRowFunction="custom" dataDxfId="452" totalsRowDxfId="21">
      <totalsRowFormula>SUM(G26:G38)</totalsRowFormula>
    </tableColumn>
    <tableColumn id="8" xr3:uid="{00000000-0010-0000-0600-000008000000}" name="Jul" totalsRowFunction="custom" dataDxfId="451" totalsRowDxfId="20">
      <totalsRowFormula>SUM(H26:H38)</totalsRowFormula>
    </tableColumn>
    <tableColumn id="9" xr3:uid="{00000000-0010-0000-0600-000009000000}" name="Aug" totalsRowFunction="custom" dataDxfId="450" totalsRowDxfId="19">
      <totalsRowFormula>SUM(I26:I38)</totalsRowFormula>
    </tableColumn>
    <tableColumn id="10" xr3:uid="{00000000-0010-0000-0600-00000A000000}" name="Sep" totalsRowFunction="custom" dataDxfId="449" totalsRowDxfId="18">
      <totalsRowFormula>SUM(J26:J38)</totalsRowFormula>
    </tableColumn>
    <tableColumn id="11" xr3:uid="{00000000-0010-0000-0600-00000B000000}" name="Oct" totalsRowFunction="custom" dataDxfId="448" totalsRowDxfId="17">
      <totalsRowFormula>SUM(K26:K38)</totalsRowFormula>
    </tableColumn>
    <tableColumn id="12" xr3:uid="{00000000-0010-0000-0600-00000C000000}" name="Nov" totalsRowFunction="custom" dataDxfId="447" totalsRowDxfId="16">
      <totalsRowFormula>SUM(L26:L38)</totalsRowFormula>
    </tableColumn>
    <tableColumn id="13" xr3:uid="{00000000-0010-0000-0600-00000D000000}" name="Dec" totalsRowFunction="custom" dataDxfId="446" totalsRowDxfId="15">
      <totalsRowFormula>SUM(M26:M38)</totalsRowFormula>
    </tableColumn>
    <tableColumn id="14" xr3:uid="{00000000-0010-0000-0600-00000E000000}" name="YEAR" totalsRowFunction="custom" dataDxfId="445" totalsRowDxfId="14">
      <calculatedColumnFormula>SUM(B26:M26)</calculatedColumnFormula>
      <totalsRowFormula>SUM(tblEmplPlan141516[YEAR])</totalsRow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able" altTextSummary="Enter planned employee costs.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7000000}" name="tblOffPlan5" displayName="tblOffPlan5" ref="A52:N72" totalsRowCount="1">
  <autoFilter ref="A52:N71" xr:uid="{00000000-0009-0000-0100-000004000000}"/>
  <tableColumns count="14">
    <tableColumn id="1" xr3:uid="{00000000-0010-0000-0700-000001000000}" name="Office Costs" totalsRowLabel="Subtotal" totalsRowDxfId="444"/>
    <tableColumn id="2" xr3:uid="{00000000-0010-0000-0700-000002000000}" name="Jan" totalsRowFunction="sum" dataDxfId="443" totalsRowDxfId="442"/>
    <tableColumn id="3" xr3:uid="{00000000-0010-0000-0700-000003000000}" name="Feb" totalsRowFunction="sum" dataDxfId="441" totalsRowDxfId="440"/>
    <tableColumn id="4" xr3:uid="{00000000-0010-0000-0700-000004000000}" name="Mar" totalsRowFunction="sum" dataDxfId="439" totalsRowDxfId="438"/>
    <tableColumn id="5" xr3:uid="{00000000-0010-0000-0700-000005000000}" name="Apr" totalsRowFunction="sum" dataDxfId="437" totalsRowDxfId="436"/>
    <tableColumn id="6" xr3:uid="{00000000-0010-0000-0700-000006000000}" name="May" totalsRowFunction="sum" dataDxfId="435" totalsRowDxfId="434"/>
    <tableColumn id="7" xr3:uid="{00000000-0010-0000-0700-000007000000}" name="Jun" totalsRowFunction="sum" dataDxfId="433" totalsRowDxfId="432"/>
    <tableColumn id="8" xr3:uid="{00000000-0010-0000-0700-000008000000}" name="Jul" totalsRowFunction="sum" dataDxfId="431" totalsRowDxfId="430"/>
    <tableColumn id="9" xr3:uid="{00000000-0010-0000-0700-000009000000}" name="Aug" totalsRowFunction="sum" dataDxfId="429" totalsRowDxfId="428"/>
    <tableColumn id="10" xr3:uid="{00000000-0010-0000-0700-00000A000000}" name="Sep" totalsRowFunction="sum" dataDxfId="427" totalsRowDxfId="426"/>
    <tableColumn id="11" xr3:uid="{00000000-0010-0000-0700-00000B000000}" name="Oct" totalsRowFunction="sum" dataDxfId="425" totalsRowDxfId="424"/>
    <tableColumn id="12" xr3:uid="{00000000-0010-0000-0700-00000C000000}" name="Nov" totalsRowFunction="sum" dataDxfId="423" totalsRowDxfId="422"/>
    <tableColumn id="13" xr3:uid="{00000000-0010-0000-0700-00000D000000}" name="Dec" totalsRowFunction="sum" dataDxfId="421" totalsRowDxfId="420"/>
    <tableColumn id="14" xr3:uid="{00000000-0010-0000-0700-00000E000000}" name="YEAR" totalsRowFunction="sum" dataDxfId="419" totalsRowDxfId="418">
      <calculatedColumnFormula>SUM(B53:M53)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Office costs table" altTextSummary="Enter office planned costs per month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8000000}" name="tblMarkPlan6" displayName="tblMarkPlan6" ref="A74:N85" totalsRowCount="1">
  <autoFilter ref="A74:N84" xr:uid="{00000000-0009-0000-0100-000005000000}"/>
  <tableColumns count="14">
    <tableColumn id="1" xr3:uid="{00000000-0010-0000-0800-000001000000}" name="Marketing and Sales Costs" totalsRowLabel="Subtotal" totalsRowDxfId="127"/>
    <tableColumn id="2" xr3:uid="{00000000-0010-0000-0800-000002000000}" name="Jan" totalsRowFunction="sum" dataDxfId="417" totalsRowDxfId="126"/>
    <tableColumn id="3" xr3:uid="{00000000-0010-0000-0800-000003000000}" name="Feb" totalsRowFunction="sum" dataDxfId="416" totalsRowDxfId="125"/>
    <tableColumn id="4" xr3:uid="{00000000-0010-0000-0800-000004000000}" name="Mar" totalsRowFunction="sum" dataDxfId="415" totalsRowDxfId="124">
      <calculatedColumnFormula>#REF!</calculatedColumnFormula>
    </tableColumn>
    <tableColumn id="5" xr3:uid="{00000000-0010-0000-0800-000005000000}" name="Apr" totalsRowFunction="sum" dataDxfId="414" totalsRowDxfId="123">
      <calculatedColumnFormula>#REF!</calculatedColumnFormula>
    </tableColumn>
    <tableColumn id="6" xr3:uid="{00000000-0010-0000-0800-000006000000}" name="May" totalsRowFunction="sum" dataDxfId="413" totalsRowDxfId="122">
      <calculatedColumnFormula>#REF!</calculatedColumnFormula>
    </tableColumn>
    <tableColumn id="7" xr3:uid="{00000000-0010-0000-0800-000007000000}" name="Jun" totalsRowFunction="sum" dataDxfId="412" totalsRowDxfId="121">
      <calculatedColumnFormula>#REF!</calculatedColumnFormula>
    </tableColumn>
    <tableColumn id="8" xr3:uid="{00000000-0010-0000-0800-000008000000}" name="Jul" totalsRowFunction="sum" dataDxfId="411" totalsRowDxfId="120">
      <calculatedColumnFormula>#REF!</calculatedColumnFormula>
    </tableColumn>
    <tableColumn id="9" xr3:uid="{00000000-0010-0000-0800-000009000000}" name="Aug" totalsRowFunction="sum" dataDxfId="410" totalsRowDxfId="119">
      <calculatedColumnFormula>#REF!</calculatedColumnFormula>
    </tableColumn>
    <tableColumn id="10" xr3:uid="{00000000-0010-0000-0800-00000A000000}" name="Sep" totalsRowFunction="sum" dataDxfId="409" totalsRowDxfId="118">
      <calculatedColumnFormula>#REF!</calculatedColumnFormula>
    </tableColumn>
    <tableColumn id="11" xr3:uid="{00000000-0010-0000-0800-00000B000000}" name="Oct" totalsRowFunction="sum" dataDxfId="408" totalsRowDxfId="117">
      <calculatedColumnFormula>#REF!</calculatedColumnFormula>
    </tableColumn>
    <tableColumn id="12" xr3:uid="{00000000-0010-0000-0800-00000C000000}" name="Nov" totalsRowFunction="sum" dataDxfId="407" totalsRowDxfId="116">
      <calculatedColumnFormula>#REF!</calculatedColumnFormula>
    </tableColumn>
    <tableColumn id="13" xr3:uid="{00000000-0010-0000-0800-00000D000000}" name="Dec" totalsRowFunction="sum" dataDxfId="406" totalsRowDxfId="115">
      <calculatedColumnFormula>#REF!</calculatedColumnFormula>
    </tableColumn>
    <tableColumn id="14" xr3:uid="{00000000-0010-0000-0800-00000E000000}" name="YEAR" totalsRowFunction="custom" dataDxfId="405" totalsRowDxfId="114">
      <calculatedColumnFormula>SUM(B75:M75)</calculatedColumnFormula>
      <totalsRowFormula>SUM(N76:N84)</totalsRow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Marketing costs table" altTextSummary="Enter marketing planned costs per month.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9000000}" name="tblTrainPlan7" displayName="tblTrainPlan7" ref="A87:N90" totalsRowCount="1" headerRowDxfId="404" dataDxfId="402" headerRowBorderDxfId="403" tableBorderDxfId="401" totalsRowBorderDxfId="400" headerRowCellStyle="Heading 4">
  <autoFilter ref="A87:N89" xr:uid="{00000000-0009-0000-0100-000006000000}"/>
  <tableColumns count="14">
    <tableColumn id="1" xr3:uid="{00000000-0010-0000-0900-000001000000}" name="Automobile Costs" totalsRowLabel="Subtotal" dataDxfId="399" totalsRowDxfId="398"/>
    <tableColumn id="2" xr3:uid="{00000000-0010-0000-0900-000002000000}" name="Jan" totalsRowFunction="sum" dataDxfId="397" totalsRowDxfId="396"/>
    <tableColumn id="3" xr3:uid="{00000000-0010-0000-0900-000003000000}" name="Feb" totalsRowFunction="sum" dataDxfId="395" totalsRowDxfId="394"/>
    <tableColumn id="4" xr3:uid="{00000000-0010-0000-0900-000004000000}" name="Mar" totalsRowFunction="sum" dataDxfId="393" totalsRowDxfId="392"/>
    <tableColumn id="5" xr3:uid="{00000000-0010-0000-0900-000005000000}" name="Apr" totalsRowFunction="sum" dataDxfId="391" totalsRowDxfId="390"/>
    <tableColumn id="6" xr3:uid="{00000000-0010-0000-0900-000006000000}" name="May" totalsRowFunction="sum" dataDxfId="389" totalsRowDxfId="388"/>
    <tableColumn id="7" xr3:uid="{00000000-0010-0000-0900-000007000000}" name="Jun" totalsRowFunction="sum" dataDxfId="387" totalsRowDxfId="386"/>
    <tableColumn id="8" xr3:uid="{00000000-0010-0000-0900-000008000000}" name="Jul" totalsRowFunction="sum" dataDxfId="385" totalsRowDxfId="384"/>
    <tableColumn id="9" xr3:uid="{00000000-0010-0000-0900-000009000000}" name="Aug" totalsRowFunction="sum" dataDxfId="383" totalsRowDxfId="382"/>
    <tableColumn id="10" xr3:uid="{00000000-0010-0000-0900-00000A000000}" name="Sep" totalsRowFunction="sum" dataDxfId="381" totalsRowDxfId="380"/>
    <tableColumn id="11" xr3:uid="{00000000-0010-0000-0900-00000B000000}" name="Oct" totalsRowFunction="sum" dataDxfId="379" totalsRowDxfId="378"/>
    <tableColumn id="12" xr3:uid="{00000000-0010-0000-0900-00000C000000}" name="Nov" totalsRowFunction="sum" dataDxfId="377" totalsRowDxfId="376"/>
    <tableColumn id="13" xr3:uid="{00000000-0010-0000-0900-00000D000000}" name="Dec" totalsRowFunction="sum" dataDxfId="375" totalsRowDxfId="374"/>
    <tableColumn id="14" xr3:uid="{00000000-0010-0000-0900-00000E000000}" name="YEAR" totalsRowFunction="sum" dataDxfId="373" totalsRowDxfId="372">
      <calculatedColumnFormula>SUM(B88:M88)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raining/Travel table" altTextSummary="Enter training/travel planned costs per month.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A000000}" name="tblEmplPlan9" displayName="tblEmplPlan9" ref="A46:N50" totalsRowCount="1">
  <autoFilter ref="A46:N49" xr:uid="{00000000-0009-0000-0100-000008000000}"/>
  <tableColumns count="14">
    <tableColumn id="1" xr3:uid="{00000000-0010-0000-0A00-000001000000}" name="Admin Employee Costs" totalsRowLabel="Subtotal" dataDxfId="371" totalsRowDxfId="141"/>
    <tableColumn id="2" xr3:uid="{00000000-0010-0000-0A00-000002000000}" name="Jan" totalsRowFunction="custom" totalsRowDxfId="140">
      <totalsRowFormula>SUM(tblEmplPlan9[Jan])</totalsRowFormula>
    </tableColumn>
    <tableColumn id="3" xr3:uid="{00000000-0010-0000-0A00-000003000000}" name="Feb" totalsRowFunction="custom" totalsRowDxfId="139">
      <totalsRowFormula>SUM(tblEmplPlan9[Feb])</totalsRowFormula>
    </tableColumn>
    <tableColumn id="4" xr3:uid="{00000000-0010-0000-0A00-000004000000}" name="Mar" totalsRowFunction="custom" dataDxfId="370" totalsRowDxfId="138">
      <calculatedColumnFormula>#REF!</calculatedColumnFormula>
      <totalsRowFormula>SUM(tblEmplPlan9[Mar])</totalsRowFormula>
    </tableColumn>
    <tableColumn id="5" xr3:uid="{00000000-0010-0000-0A00-000005000000}" name="Apr" totalsRowFunction="custom" dataDxfId="369" totalsRowDxfId="137">
      <calculatedColumnFormula>#REF!</calculatedColumnFormula>
      <totalsRowFormula>SUM(tblEmplPlan9[Apr])</totalsRowFormula>
    </tableColumn>
    <tableColumn id="6" xr3:uid="{00000000-0010-0000-0A00-000006000000}" name="May" totalsRowFunction="custom" dataDxfId="368" totalsRowDxfId="136">
      <calculatedColumnFormula>#REF!</calculatedColumnFormula>
      <totalsRowFormula>SUM(tblEmplPlan9[May])</totalsRowFormula>
    </tableColumn>
    <tableColumn id="7" xr3:uid="{00000000-0010-0000-0A00-000007000000}" name="Jun" totalsRowFunction="custom" dataDxfId="367" totalsRowDxfId="135">
      <calculatedColumnFormula>#REF!</calculatedColumnFormula>
      <totalsRowFormula>SUM(tblEmplPlan9[Jun])</totalsRowFormula>
    </tableColumn>
    <tableColumn id="8" xr3:uid="{00000000-0010-0000-0A00-000008000000}" name="Jul" totalsRowFunction="custom" dataDxfId="366" totalsRowDxfId="134">
      <calculatedColumnFormula>#REF!</calculatedColumnFormula>
      <totalsRowFormula>SUM(tblEmplPlan9[Jul])</totalsRowFormula>
    </tableColumn>
    <tableColumn id="9" xr3:uid="{00000000-0010-0000-0A00-000009000000}" name="Aug" totalsRowFunction="custom" dataDxfId="365" totalsRowDxfId="133">
      <calculatedColumnFormula>#REF!</calculatedColumnFormula>
      <totalsRowFormula>SUM(tblEmplPlan9[Aug])</totalsRowFormula>
    </tableColumn>
    <tableColumn id="10" xr3:uid="{00000000-0010-0000-0A00-00000A000000}" name="Sep" totalsRowFunction="custom" dataDxfId="364" totalsRowDxfId="132">
      <calculatedColumnFormula>#REF!</calculatedColumnFormula>
      <totalsRowFormula>SUM(tblEmplPlan9[Sep])</totalsRowFormula>
    </tableColumn>
    <tableColumn id="11" xr3:uid="{00000000-0010-0000-0A00-00000B000000}" name="Oct" totalsRowFunction="custom" dataDxfId="363" totalsRowDxfId="131">
      <calculatedColumnFormula>#REF!</calculatedColumnFormula>
      <totalsRowFormula>SUM(tblEmplPlan9[Oct])</totalsRowFormula>
    </tableColumn>
    <tableColumn id="12" xr3:uid="{00000000-0010-0000-0A00-00000C000000}" name="Nov" totalsRowFunction="custom" dataDxfId="362" totalsRowDxfId="130">
      <calculatedColumnFormula>#REF!</calculatedColumnFormula>
      <totalsRowFormula>SUM(tblEmplPlan9[Nov])</totalsRowFormula>
    </tableColumn>
    <tableColumn id="13" xr3:uid="{00000000-0010-0000-0A00-00000D000000}" name="Dec" totalsRowFunction="custom" dataDxfId="361" totalsRowDxfId="129">
      <calculatedColumnFormula>#REF!</calculatedColumnFormula>
      <totalsRowFormula>SUM(tblEmplPlan9[Dec])</totalsRowFormula>
    </tableColumn>
    <tableColumn id="14" xr3:uid="{00000000-0010-0000-0A00-00000E000000}" name="YEAR" totalsRowFunction="sum" dataDxfId="360" totalsRowDxfId="128">
      <calculatedColumnFormula>SUM(B47:M47)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able" altTextSummary="Enter planned employee costs.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B000000}" name="tblEmplPlan1417" displayName="tblEmplPlan1417" ref="A5:N8" totalsRowCount="1" headerRowDxfId="359" dataDxfId="358" totalsRowDxfId="357">
  <autoFilter ref="A5:N7" xr:uid="{00000000-0009-0000-0100-000010000000}"/>
  <tableColumns count="14">
    <tableColumn id="1" xr3:uid="{00000000-0010-0000-0B00-000001000000}" name="Product Resell Revenue" totalsRowLabel="Subtotal" dataDxfId="356" totalsRowDxfId="355"/>
    <tableColumn id="2" xr3:uid="{00000000-0010-0000-0B00-000002000000}" name="Jan" totalsRowFunction="custom" dataDxfId="354" totalsRowDxfId="353">
      <calculatedColumnFormula>B5*0.27</calculatedColumnFormula>
      <totalsRowFormula>B6+B7</totalsRowFormula>
    </tableColumn>
    <tableColumn id="3" xr3:uid="{00000000-0010-0000-0B00-000003000000}" name="Feb" totalsRowFunction="custom" dataDxfId="352" totalsRowDxfId="351">
      <calculatedColumnFormula>C5*0.27</calculatedColumnFormula>
      <totalsRowFormula>C6+C7</totalsRowFormula>
    </tableColumn>
    <tableColumn id="4" xr3:uid="{00000000-0010-0000-0B00-000004000000}" name="Mar" totalsRowFunction="custom" dataDxfId="350" totalsRowDxfId="349">
      <calculatedColumnFormula>D5*0.27</calculatedColumnFormula>
      <totalsRowFormula>D6+D7</totalsRowFormula>
    </tableColumn>
    <tableColumn id="5" xr3:uid="{00000000-0010-0000-0B00-000005000000}" name="Apr" totalsRowFunction="custom" dataDxfId="348" totalsRowDxfId="347">
      <calculatedColumnFormula>E5*0.27</calculatedColumnFormula>
      <totalsRowFormula>E6+E7</totalsRowFormula>
    </tableColumn>
    <tableColumn id="6" xr3:uid="{00000000-0010-0000-0B00-000006000000}" name="May" totalsRowFunction="custom" dataDxfId="346" totalsRowDxfId="345">
      <calculatedColumnFormula>F5*0.27</calculatedColumnFormula>
      <totalsRowFormula>F6+F7</totalsRowFormula>
    </tableColumn>
    <tableColumn id="7" xr3:uid="{00000000-0010-0000-0B00-000007000000}" name="Jun" totalsRowFunction="custom" dataDxfId="344" totalsRowDxfId="343">
      <calculatedColumnFormula>G5*0.27</calculatedColumnFormula>
      <totalsRowFormula>G6+G7</totalsRowFormula>
    </tableColumn>
    <tableColumn id="8" xr3:uid="{00000000-0010-0000-0B00-000008000000}" name="Jul" totalsRowFunction="custom" dataDxfId="342" totalsRowDxfId="341">
      <calculatedColumnFormula>H5*0.27</calculatedColumnFormula>
      <totalsRowFormula>H6+H7</totalsRowFormula>
    </tableColumn>
    <tableColumn id="9" xr3:uid="{00000000-0010-0000-0B00-000009000000}" name="Aug" totalsRowFunction="custom" dataDxfId="340" totalsRowDxfId="339">
      <calculatedColumnFormula>I5*0.27</calculatedColumnFormula>
      <totalsRowFormula>I6+I7</totalsRowFormula>
    </tableColumn>
    <tableColumn id="10" xr3:uid="{00000000-0010-0000-0B00-00000A000000}" name="Sep" totalsRowFunction="custom" dataDxfId="338" totalsRowDxfId="337">
      <calculatedColumnFormula>J5*0.27</calculatedColumnFormula>
      <totalsRowFormula>J6+J7</totalsRowFormula>
    </tableColumn>
    <tableColumn id="11" xr3:uid="{00000000-0010-0000-0B00-00000B000000}" name="Oct" totalsRowFunction="custom" dataDxfId="336" totalsRowDxfId="335">
      <calculatedColumnFormula>K5*0.27</calculatedColumnFormula>
      <totalsRowFormula>K6+K7</totalsRowFormula>
    </tableColumn>
    <tableColumn id="12" xr3:uid="{00000000-0010-0000-0B00-00000C000000}" name="Nov" totalsRowFunction="custom" dataDxfId="334" totalsRowDxfId="333">
      <calculatedColumnFormula>L5*0.27</calculatedColumnFormula>
      <totalsRowFormula>L6+L7</totalsRowFormula>
    </tableColumn>
    <tableColumn id="13" xr3:uid="{00000000-0010-0000-0B00-00000D000000}" name="Dec" totalsRowFunction="custom" dataDxfId="332" totalsRowDxfId="331">
      <calculatedColumnFormula>M5*0.27</calculatedColumnFormula>
      <totalsRowFormula>M6+M7</totalsRowFormula>
    </tableColumn>
    <tableColumn id="14" xr3:uid="{00000000-0010-0000-0B00-00000E000000}" name="YEAR" totalsRowFunction="custom" dataDxfId="330" totalsRowDxfId="329">
      <calculatedColumnFormula>SUM(B6:M6)</calculatedColumnFormula>
      <totalsRowFormula>N6+N7</totalsRow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able" altTextSummary="Enter planned employee costs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C000000}" name="tblEmplPlan141518" displayName="tblEmplPlan141518" ref="A10:N19" totalsRowCount="1">
  <autoFilter ref="A10:N18" xr:uid="{00000000-0009-0000-0100-000011000000}"/>
  <tableColumns count="14">
    <tableColumn id="1" xr3:uid="{00000000-0010-0000-0C00-000001000000}" name="Services Revenue" totalsRowLabel="Subtotal" dataDxfId="328" totalsRowDxfId="327"/>
    <tableColumn id="2" xr3:uid="{00000000-0010-0000-0C00-000002000000}" name="Jan" totalsRowFunction="custom" dataDxfId="326" totalsRowDxfId="325">
      <totalsRowFormula>SUM(B11:B18)</totalsRowFormula>
    </tableColumn>
    <tableColumn id="3" xr3:uid="{00000000-0010-0000-0C00-000003000000}" name="Feb" totalsRowFunction="custom" dataDxfId="324" totalsRowDxfId="323">
      <totalsRowFormula>SUM(C11:C18)</totalsRowFormula>
    </tableColumn>
    <tableColumn id="4" xr3:uid="{00000000-0010-0000-0C00-000004000000}" name="Mar" totalsRowFunction="custom" dataDxfId="322" totalsRowDxfId="321">
      <totalsRowFormula>SUM(D11:D18)</totalsRowFormula>
    </tableColumn>
    <tableColumn id="5" xr3:uid="{00000000-0010-0000-0C00-000005000000}" name="Apr" totalsRowFunction="custom" dataDxfId="320" totalsRowDxfId="319">
      <totalsRowFormula>SUM(E11:E18)</totalsRowFormula>
    </tableColumn>
    <tableColumn id="6" xr3:uid="{00000000-0010-0000-0C00-000006000000}" name="May" totalsRowFunction="custom" dataDxfId="318" totalsRowDxfId="317">
      <totalsRowFormula>SUM(F11:F18)</totalsRowFormula>
    </tableColumn>
    <tableColumn id="7" xr3:uid="{00000000-0010-0000-0C00-000007000000}" name="Jun" totalsRowFunction="custom" dataDxfId="316" totalsRowDxfId="315">
      <totalsRowFormula>SUM(G11:G18)</totalsRowFormula>
    </tableColumn>
    <tableColumn id="8" xr3:uid="{00000000-0010-0000-0C00-000008000000}" name="Jul" totalsRowFunction="custom" dataDxfId="314" totalsRowDxfId="313">
      <totalsRowFormula>SUM(H11:H18)</totalsRowFormula>
    </tableColumn>
    <tableColumn id="9" xr3:uid="{00000000-0010-0000-0C00-000009000000}" name="Aug" totalsRowFunction="custom" dataDxfId="312" totalsRowDxfId="311">
      <totalsRowFormula>SUM(I11:I18)</totalsRowFormula>
    </tableColumn>
    <tableColumn id="10" xr3:uid="{00000000-0010-0000-0C00-00000A000000}" name="Sep" totalsRowFunction="custom" dataDxfId="310" totalsRowDxfId="309">
      <totalsRowFormula>SUM(J11:J18)</totalsRowFormula>
    </tableColumn>
    <tableColumn id="11" xr3:uid="{00000000-0010-0000-0C00-00000B000000}" name="Oct" totalsRowFunction="custom" dataDxfId="308" totalsRowDxfId="307">
      <totalsRowFormula>SUM(K11:K18)</totalsRowFormula>
    </tableColumn>
    <tableColumn id="12" xr3:uid="{00000000-0010-0000-0C00-00000C000000}" name="Nov" totalsRowFunction="custom" dataDxfId="306" totalsRowDxfId="305">
      <totalsRowFormula>SUM(L11:L18)</totalsRowFormula>
    </tableColumn>
    <tableColumn id="13" xr3:uid="{00000000-0010-0000-0C00-00000D000000}" name="Dec" totalsRowFunction="custom" dataDxfId="304" totalsRowDxfId="303">
      <totalsRowFormula>SUM(M11:M18)</totalsRowFormula>
    </tableColumn>
    <tableColumn id="14" xr3:uid="{00000000-0010-0000-0C00-00000E000000}" name="YEAR" totalsRowFunction="sum" dataDxfId="302" totalsRowDxfId="301">
      <calculatedColumnFormula>SUM(B11:M11)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able" altTextSummary="Enter planned employee costs.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D000000}" name="tblEmplPlan14151619" displayName="tblEmplPlan14151619" ref="A24:N38" totalsRowCount="1">
  <autoFilter ref="A24:N37" xr:uid="{00000000-0009-0000-0100-000012000000}"/>
  <tableColumns count="14">
    <tableColumn id="1" xr3:uid="{00000000-0010-0000-0D00-000001000000}" name="COGS" totalsRowLabel="Subtotal COGS" dataDxfId="300" totalsRowDxfId="155"/>
    <tableColumn id="2" xr3:uid="{00000000-0010-0000-0D00-000002000000}" name="Jan" totalsRowFunction="custom" dataDxfId="299" totalsRowDxfId="154">
      <totalsRowFormula>SUM(tblEmplPlan14151619[Jan])</totalsRowFormula>
    </tableColumn>
    <tableColumn id="3" xr3:uid="{00000000-0010-0000-0D00-000003000000}" name="Feb" totalsRowFunction="custom" dataDxfId="298" totalsRowDxfId="153">
      <totalsRowFormula>SUM(tblEmplPlan14151619[Feb])</totalsRowFormula>
    </tableColumn>
    <tableColumn id="4" xr3:uid="{00000000-0010-0000-0D00-000004000000}" name="Mar" totalsRowFunction="custom" dataDxfId="297" totalsRowDxfId="152">
      <calculatedColumnFormula>#REF!</calculatedColumnFormula>
      <totalsRowFormula>SUM(tblEmplPlan14151619[Mar])</totalsRowFormula>
    </tableColumn>
    <tableColumn id="5" xr3:uid="{00000000-0010-0000-0D00-000005000000}" name="Apr" totalsRowFunction="custom" dataDxfId="296" totalsRowDxfId="151">
      <calculatedColumnFormula>#REF!</calculatedColumnFormula>
      <totalsRowFormula>SUM(tblEmplPlan14151619[Apr])</totalsRowFormula>
    </tableColumn>
    <tableColumn id="6" xr3:uid="{00000000-0010-0000-0D00-000006000000}" name="May" totalsRowFunction="custom" dataDxfId="295" totalsRowDxfId="150">
      <calculatedColumnFormula>#REF!</calculatedColumnFormula>
      <totalsRowFormula>SUM(tblEmplPlan14151619[May])</totalsRowFormula>
    </tableColumn>
    <tableColumn id="7" xr3:uid="{00000000-0010-0000-0D00-000007000000}" name="Jun" totalsRowFunction="custom" dataDxfId="294" totalsRowDxfId="149">
      <calculatedColumnFormula>#REF!</calculatedColumnFormula>
      <totalsRowFormula>SUM(tblEmplPlan14151619[Jun])</totalsRowFormula>
    </tableColumn>
    <tableColumn id="8" xr3:uid="{00000000-0010-0000-0D00-000008000000}" name="Jul" totalsRowFunction="custom" dataDxfId="293" totalsRowDxfId="148">
      <calculatedColumnFormula>#REF!</calculatedColumnFormula>
      <totalsRowFormula>SUM(tblEmplPlan14151619[Jul])</totalsRowFormula>
    </tableColumn>
    <tableColumn id="9" xr3:uid="{00000000-0010-0000-0D00-000009000000}" name="Aug" totalsRowFunction="custom" dataDxfId="292" totalsRowDxfId="147">
      <calculatedColumnFormula>#REF!</calculatedColumnFormula>
      <totalsRowFormula>SUM(tblEmplPlan14151619[Aug])</totalsRowFormula>
    </tableColumn>
    <tableColumn id="10" xr3:uid="{00000000-0010-0000-0D00-00000A000000}" name="Sep" totalsRowFunction="custom" dataDxfId="291" totalsRowDxfId="146">
      <calculatedColumnFormula>#REF!</calculatedColumnFormula>
      <totalsRowFormula>SUM(tblEmplPlan14151619[Sep])</totalsRowFormula>
    </tableColumn>
    <tableColumn id="11" xr3:uid="{00000000-0010-0000-0D00-00000B000000}" name="Oct" totalsRowFunction="custom" dataDxfId="290" totalsRowDxfId="145">
      <calculatedColumnFormula>#REF!</calculatedColumnFormula>
      <totalsRowFormula>SUM(tblEmplPlan14151619[Oct])</totalsRowFormula>
    </tableColumn>
    <tableColumn id="12" xr3:uid="{00000000-0010-0000-0D00-00000C000000}" name="Nov" totalsRowFunction="custom" dataDxfId="289" totalsRowDxfId="144">
      <calculatedColumnFormula>#REF!</calculatedColumnFormula>
      <totalsRowFormula>SUM(tblEmplPlan14151619[Nov])</totalsRowFormula>
    </tableColumn>
    <tableColumn id="13" xr3:uid="{00000000-0010-0000-0D00-00000D000000}" name="Dec" totalsRowFunction="custom" dataDxfId="288" totalsRowDxfId="143">
      <calculatedColumnFormula>#REF!</calculatedColumnFormula>
      <totalsRowFormula>SUM(tblEmplPlan14151619[Dec])</totalsRowFormula>
    </tableColumn>
    <tableColumn id="14" xr3:uid="{00000000-0010-0000-0D00-00000E000000}" name="YEAR" totalsRowFunction="sum" dataDxfId="287" totalsRowDxfId="142" dataCellStyle="Currency">
      <calculatedColumnFormula>SUM(B25:M25)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able" altTextSummary="Enter planned employee costs.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E000000}" name="tblOffPlan510" displayName="tblOffPlan510" ref="B51:O70" totalsRowCount="1">
  <autoFilter ref="B51:O69" xr:uid="{00000000-0009-0000-0100-000009000000}"/>
  <tableColumns count="14">
    <tableColumn id="1" xr3:uid="{00000000-0010-0000-0E00-000001000000}" name="Office Costs" totalsRowLabel="Subtotal" totalsRowDxfId="286"/>
    <tableColumn id="2" xr3:uid="{00000000-0010-0000-0E00-000002000000}" name="Jan" totalsRowFunction="sum" dataDxfId="285" totalsRowDxfId="284">
      <calculatedColumnFormula>ACTUAL!B53-Budget!B54</calculatedColumnFormula>
    </tableColumn>
    <tableColumn id="3" xr3:uid="{00000000-0010-0000-0E00-000003000000}" name="Feb" totalsRowFunction="sum" dataDxfId="283" totalsRowDxfId="282"/>
    <tableColumn id="4" xr3:uid="{00000000-0010-0000-0E00-000004000000}" name="Mar" totalsRowFunction="sum" dataDxfId="281" totalsRowDxfId="280"/>
    <tableColumn id="5" xr3:uid="{00000000-0010-0000-0E00-000005000000}" name="Apr" totalsRowFunction="sum" dataDxfId="279" totalsRowDxfId="278"/>
    <tableColumn id="6" xr3:uid="{00000000-0010-0000-0E00-000006000000}" name="May" totalsRowFunction="sum" dataDxfId="277" totalsRowDxfId="276"/>
    <tableColumn id="7" xr3:uid="{00000000-0010-0000-0E00-000007000000}" name="Jun" totalsRowFunction="sum" dataDxfId="275" totalsRowDxfId="274"/>
    <tableColumn id="8" xr3:uid="{00000000-0010-0000-0E00-000008000000}" name="Jul" totalsRowFunction="sum" dataDxfId="273" totalsRowDxfId="272"/>
    <tableColumn id="9" xr3:uid="{00000000-0010-0000-0E00-000009000000}" name="Aug" totalsRowFunction="sum" dataDxfId="271" totalsRowDxfId="270"/>
    <tableColumn id="10" xr3:uid="{00000000-0010-0000-0E00-00000A000000}" name="Sep" totalsRowFunction="sum" dataDxfId="269" totalsRowDxfId="268"/>
    <tableColumn id="11" xr3:uid="{00000000-0010-0000-0E00-00000B000000}" name="Oct" totalsRowFunction="sum" dataDxfId="267" totalsRowDxfId="266"/>
    <tableColumn id="12" xr3:uid="{00000000-0010-0000-0E00-00000C000000}" name="Nov" totalsRowFunction="sum" dataDxfId="265" totalsRowDxfId="264"/>
    <tableColumn id="13" xr3:uid="{00000000-0010-0000-0E00-00000D000000}" name="Dec" totalsRowFunction="sum" dataDxfId="263" totalsRowDxfId="262"/>
    <tableColumn id="14" xr3:uid="{00000000-0010-0000-0E00-00000E000000}" name="YEAR" totalsRowFunction="sum" dataDxfId="261" totalsRowDxfId="260">
      <calculatedColumnFormula>SUM(C52:N52)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Office costs table" altTextSummary="Enter office planned costs per month.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F000000}" name="tblMarkPlan611" displayName="tblMarkPlan611" ref="B72:O80" totalsRowCount="1">
  <autoFilter ref="B72:O79" xr:uid="{00000000-0009-0000-0100-00000A000000}"/>
  <tableColumns count="14">
    <tableColumn id="1" xr3:uid="{00000000-0010-0000-0F00-000001000000}" name="Marketing and Sales Costs" totalsRowLabel="Subtotal" totalsRowDxfId="259"/>
    <tableColumn id="2" xr3:uid="{00000000-0010-0000-0F00-000002000000}" name="Jan" totalsRowFunction="sum" dataDxfId="258" totalsRowDxfId="257">
      <calculatedColumnFormula>ACTUAL!B75-Budget!B76</calculatedColumnFormula>
    </tableColumn>
    <tableColumn id="3" xr3:uid="{00000000-0010-0000-0F00-000003000000}" name="Feb" totalsRowFunction="sum" dataDxfId="256" totalsRowDxfId="255"/>
    <tableColumn id="4" xr3:uid="{00000000-0010-0000-0F00-000004000000}" name="Mar" totalsRowFunction="sum" dataDxfId="254" totalsRowDxfId="253"/>
    <tableColumn id="5" xr3:uid="{00000000-0010-0000-0F00-000005000000}" name="Apr" totalsRowFunction="sum" dataDxfId="252" totalsRowDxfId="251"/>
    <tableColumn id="6" xr3:uid="{00000000-0010-0000-0F00-000006000000}" name="May" totalsRowFunction="sum" dataDxfId="250" totalsRowDxfId="249"/>
    <tableColumn id="7" xr3:uid="{00000000-0010-0000-0F00-000007000000}" name="Jun" totalsRowFunction="sum" dataDxfId="248" totalsRowDxfId="247"/>
    <tableColumn id="8" xr3:uid="{00000000-0010-0000-0F00-000008000000}" name="Jul" totalsRowFunction="sum" dataDxfId="246" totalsRowDxfId="245"/>
    <tableColumn id="9" xr3:uid="{00000000-0010-0000-0F00-000009000000}" name="Aug" totalsRowFunction="sum" dataDxfId="244" totalsRowDxfId="243"/>
    <tableColumn id="10" xr3:uid="{00000000-0010-0000-0F00-00000A000000}" name="Sep" totalsRowFunction="sum" dataDxfId="242" totalsRowDxfId="241"/>
    <tableColumn id="11" xr3:uid="{00000000-0010-0000-0F00-00000B000000}" name="Oct" totalsRowFunction="sum" dataDxfId="240" totalsRowDxfId="239"/>
    <tableColumn id="12" xr3:uid="{00000000-0010-0000-0F00-00000C000000}" name="Nov" totalsRowFunction="sum" dataDxfId="238" totalsRowDxfId="237"/>
    <tableColumn id="13" xr3:uid="{00000000-0010-0000-0F00-00000D000000}" name="Dec" totalsRowFunction="sum" dataDxfId="236" totalsRowDxfId="235"/>
    <tableColumn id="14" xr3:uid="{00000000-0010-0000-0F00-00000E000000}" name="YEAR" totalsRowFunction="sum" dataDxfId="234" totalsRowDxfId="233">
      <calculatedColumnFormula>SUM(C73:N73)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Marketing costs table" altTextSummary="Enter marketing planned costs per month.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0000000}" name="tblTrainPlan712" displayName="tblTrainPlan712" ref="B82:O85" totalsRowCount="1" headerRowDxfId="232" dataDxfId="230" headerRowBorderDxfId="231" tableBorderDxfId="229" totalsRowBorderDxfId="228" headerRowCellStyle="Heading 4">
  <autoFilter ref="B82:O84" xr:uid="{00000000-0009-0000-0100-00000B000000}"/>
  <tableColumns count="14">
    <tableColumn id="1" xr3:uid="{00000000-0010-0000-1000-000001000000}" name="Automobile Costs" totalsRowLabel="Subtotal" dataDxfId="227" totalsRowDxfId="226"/>
    <tableColumn id="2" xr3:uid="{00000000-0010-0000-1000-000002000000}" name="Jan" totalsRowFunction="sum" dataDxfId="225" totalsRowDxfId="224">
      <calculatedColumnFormula>ACTUAL!B88-Budget!B89</calculatedColumnFormula>
    </tableColumn>
    <tableColumn id="3" xr3:uid="{00000000-0010-0000-1000-000003000000}" name="Feb" totalsRowFunction="sum" dataDxfId="223" totalsRowDxfId="222"/>
    <tableColumn id="4" xr3:uid="{00000000-0010-0000-1000-000004000000}" name="Mar" totalsRowFunction="sum" dataDxfId="221" totalsRowDxfId="220"/>
    <tableColumn id="5" xr3:uid="{00000000-0010-0000-1000-000005000000}" name="Apr" totalsRowFunction="sum" dataDxfId="219" totalsRowDxfId="218"/>
    <tableColumn id="6" xr3:uid="{00000000-0010-0000-1000-000006000000}" name="May" totalsRowFunction="sum" dataDxfId="217" totalsRowDxfId="216"/>
    <tableColumn id="7" xr3:uid="{00000000-0010-0000-1000-000007000000}" name="Jun" totalsRowFunction="sum" dataDxfId="215" totalsRowDxfId="214"/>
    <tableColumn id="8" xr3:uid="{00000000-0010-0000-1000-000008000000}" name="Jul" totalsRowFunction="sum" dataDxfId="213" totalsRowDxfId="212"/>
    <tableColumn id="9" xr3:uid="{00000000-0010-0000-1000-000009000000}" name="Aug" totalsRowFunction="sum" dataDxfId="211" totalsRowDxfId="210"/>
    <tableColumn id="10" xr3:uid="{00000000-0010-0000-1000-00000A000000}" name="Sep" totalsRowFunction="sum" dataDxfId="209" totalsRowDxfId="208"/>
    <tableColumn id="11" xr3:uid="{00000000-0010-0000-1000-00000B000000}" name="Oct" totalsRowFunction="sum" dataDxfId="207" totalsRowDxfId="206"/>
    <tableColumn id="12" xr3:uid="{00000000-0010-0000-1000-00000C000000}" name="Nov" totalsRowFunction="sum" dataDxfId="205" totalsRowDxfId="204"/>
    <tableColumn id="13" xr3:uid="{00000000-0010-0000-1000-00000D000000}" name="Dec" totalsRowFunction="sum" dataDxfId="203" totalsRowDxfId="202"/>
    <tableColumn id="14" xr3:uid="{00000000-0010-0000-1000-00000E000000}" name="YEAR" totalsRowFunction="sum" dataDxfId="201" totalsRowDxfId="200">
      <calculatedColumnFormula>SUM(C83:N83)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raining/Travel table" altTextSummary="Enter training/travel planned costs per month.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1000000}" name="tblEmplPlan913" displayName="tblEmplPlan913" ref="B39:O49" totalsRowCount="1">
  <autoFilter ref="B39:O48" xr:uid="{00000000-0009-0000-0100-00000C000000}"/>
  <tableColumns count="14">
    <tableColumn id="1" xr3:uid="{00000000-0010-0000-1100-000001000000}" name="Employee Costs" totalsRowLabel="Subtotal" dataDxfId="71" totalsRowDxfId="70"/>
    <tableColumn id="2" xr3:uid="{00000000-0010-0000-1100-000002000000}" name="Jan" totalsRowFunction="custom" dataDxfId="69" totalsRowDxfId="68">
      <calculatedColumnFormula>ACTUAL!B47-Budget!B48</calculatedColumnFormula>
      <totalsRowFormula>C40+C41+C43+C44+C45+C46+C48</totalsRowFormula>
    </tableColumn>
    <tableColumn id="3" xr3:uid="{00000000-0010-0000-1100-000003000000}" name="Feb" totalsRowFunction="custom" totalsRowDxfId="67">
      <totalsRowFormula>D40+D41+D43+D44+D45+D46+D48</totalsRowFormula>
    </tableColumn>
    <tableColumn id="4" xr3:uid="{00000000-0010-0000-1100-000004000000}" name="Mar" totalsRowFunction="custom" totalsRowDxfId="66">
      <totalsRowFormula>E40+E41+E43+E44+E45+E46+E48</totalsRowFormula>
    </tableColumn>
    <tableColumn id="5" xr3:uid="{00000000-0010-0000-1100-000005000000}" name="Apr" totalsRowFunction="custom" totalsRowDxfId="65">
      <totalsRowFormula>F40+F41+F43+F44+F45+F46+F48</totalsRowFormula>
    </tableColumn>
    <tableColumn id="6" xr3:uid="{00000000-0010-0000-1100-000006000000}" name="May" totalsRowFunction="custom" totalsRowDxfId="64">
      <totalsRowFormula>G40+G41+G43+G44+G45+G46+G48</totalsRowFormula>
    </tableColumn>
    <tableColumn id="7" xr3:uid="{00000000-0010-0000-1100-000007000000}" name="Jun" totalsRowFunction="custom" totalsRowDxfId="63">
      <totalsRowFormula>H40+H41+H43+H44+H45+H46+H48</totalsRowFormula>
    </tableColumn>
    <tableColumn id="8" xr3:uid="{00000000-0010-0000-1100-000008000000}" name="Jul" totalsRowFunction="custom" totalsRowDxfId="62">
      <totalsRowFormula>I40+I41+I43+I44+I45+I46+I48</totalsRowFormula>
    </tableColumn>
    <tableColumn id="9" xr3:uid="{00000000-0010-0000-1100-000009000000}" name="Aug" totalsRowFunction="custom" totalsRowDxfId="61">
      <totalsRowFormula>J40+J41+J43+J44+J45+J46+J48</totalsRowFormula>
    </tableColumn>
    <tableColumn id="10" xr3:uid="{00000000-0010-0000-1100-00000A000000}" name="Sep" totalsRowFunction="custom" totalsRowDxfId="60">
      <totalsRowFormula>K40+K41+K43+K44+K45+K46+K48</totalsRowFormula>
    </tableColumn>
    <tableColumn id="11" xr3:uid="{00000000-0010-0000-1100-00000B000000}" name="Oct" totalsRowFunction="custom" totalsRowDxfId="59">
      <totalsRowFormula>L40+L41+L43+L44+L45+L46+L48</totalsRowFormula>
    </tableColumn>
    <tableColumn id="12" xr3:uid="{00000000-0010-0000-1100-00000C000000}" name="Nov" totalsRowFunction="custom" totalsRowDxfId="58">
      <totalsRowFormula>M40+M41+M43+M44+M45+M46+M48</totalsRowFormula>
    </tableColumn>
    <tableColumn id="13" xr3:uid="{00000000-0010-0000-1100-00000D000000}" name="Dec" totalsRowFunction="custom" totalsRowDxfId="57">
      <totalsRowFormula>N40+N41+N43+N44+N45+N46+N48</totalsRowFormula>
    </tableColumn>
    <tableColumn id="14" xr3:uid="{00000000-0010-0000-1100-00000E000000}" name="YEAR" totalsRowFunction="sum" totalsRowDxfId="56">
      <calculatedColumnFormula>SUM(C40:N40)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able" altTextSummary="Enter planned employee costs.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blEmplPlan141720" displayName="tblEmplPlan141720" ref="B6:O9" totalsRowCount="1" headerRowDxfId="199" dataDxfId="198" totalsRowDxfId="197">
  <autoFilter ref="B6:O8" xr:uid="{00000000-0009-0000-0100-000013000000}"/>
  <tableColumns count="14">
    <tableColumn id="1" xr3:uid="{00000000-0010-0000-1200-000001000000}" name="Product Resell Revenue" totalsRowLabel="Subtotal" dataDxfId="196" totalsRowDxfId="113"/>
    <tableColumn id="2" xr3:uid="{00000000-0010-0000-1200-000002000000}" name="Jan" totalsRowFunction="custom" dataDxfId="195" totalsRowDxfId="112">
      <calculatedColumnFormula>ACTUAL!B6-Budget!B7</calculatedColumnFormula>
      <totalsRowFormula>C7+C8</totalsRowFormula>
    </tableColumn>
    <tableColumn id="3" xr3:uid="{00000000-0010-0000-1200-000003000000}" name="Feb" totalsRowFunction="custom" dataDxfId="194" totalsRowDxfId="111">
      <calculatedColumnFormula>D6*0.27</calculatedColumnFormula>
      <totalsRowFormula>D7+D8</totalsRowFormula>
    </tableColumn>
    <tableColumn id="4" xr3:uid="{00000000-0010-0000-1200-000004000000}" name="Mar" totalsRowFunction="custom" dataDxfId="193" totalsRowDxfId="110">
      <calculatedColumnFormula>E6*0.27</calculatedColumnFormula>
      <totalsRowFormula>E7+E8</totalsRowFormula>
    </tableColumn>
    <tableColumn id="5" xr3:uid="{00000000-0010-0000-1200-000005000000}" name="Apr" totalsRowFunction="custom" dataDxfId="192" totalsRowDxfId="109">
      <calculatedColumnFormula>F6*0.27</calculatedColumnFormula>
      <totalsRowFormula>F7+F8</totalsRowFormula>
    </tableColumn>
    <tableColumn id="6" xr3:uid="{00000000-0010-0000-1200-000006000000}" name="May" totalsRowFunction="custom" dataDxfId="191" totalsRowDxfId="108">
      <calculatedColumnFormula>G6*0.27</calculatedColumnFormula>
      <totalsRowFormula>G7+G8</totalsRowFormula>
    </tableColumn>
    <tableColumn id="7" xr3:uid="{00000000-0010-0000-1200-000007000000}" name="Jun" totalsRowFunction="custom" dataDxfId="190" totalsRowDxfId="107">
      <calculatedColumnFormula>H6*0.27</calculatedColumnFormula>
      <totalsRowFormula>H7+H8</totalsRowFormula>
    </tableColumn>
    <tableColumn id="8" xr3:uid="{00000000-0010-0000-1200-000008000000}" name="Jul" totalsRowFunction="custom" dataDxfId="189" totalsRowDxfId="106">
      <calculatedColumnFormula>I6*0.27</calculatedColumnFormula>
      <totalsRowFormula>I7+I8</totalsRowFormula>
    </tableColumn>
    <tableColumn id="9" xr3:uid="{00000000-0010-0000-1200-000009000000}" name="Aug" totalsRowFunction="custom" dataDxfId="188" totalsRowDxfId="105">
      <calculatedColumnFormula>J6*0.27</calculatedColumnFormula>
      <totalsRowFormula>J7+J8</totalsRowFormula>
    </tableColumn>
    <tableColumn id="10" xr3:uid="{00000000-0010-0000-1200-00000A000000}" name="Sep" totalsRowFunction="custom" dataDxfId="187" totalsRowDxfId="104">
      <calculatedColumnFormula>K6*0.27</calculatedColumnFormula>
      <totalsRowFormula>K7+K8</totalsRowFormula>
    </tableColumn>
    <tableColumn id="11" xr3:uid="{00000000-0010-0000-1200-00000B000000}" name="Oct" totalsRowFunction="custom" dataDxfId="186" totalsRowDxfId="103">
      <calculatedColumnFormula>L6*0.27</calculatedColumnFormula>
      <totalsRowFormula>L7+L8</totalsRowFormula>
    </tableColumn>
    <tableColumn id="12" xr3:uid="{00000000-0010-0000-1200-00000C000000}" name="Nov" totalsRowFunction="custom" dataDxfId="185" totalsRowDxfId="102">
      <calculatedColumnFormula>M6*0.27</calculatedColumnFormula>
      <totalsRowFormula>M7+M8</totalsRowFormula>
    </tableColumn>
    <tableColumn id="13" xr3:uid="{00000000-0010-0000-1200-00000D000000}" name="Dec" totalsRowFunction="custom" dataDxfId="184" totalsRowDxfId="101">
      <calculatedColumnFormula>N6*0.27</calculatedColumnFormula>
      <totalsRowFormula>N7+N8</totalsRowFormula>
    </tableColumn>
    <tableColumn id="14" xr3:uid="{00000000-0010-0000-1200-00000E000000}" name="YEAR" totalsRowFunction="custom" dataDxfId="183" totalsRowDxfId="100">
      <calculatedColumnFormula>SUM(C7:N7)</calculatedColumnFormula>
      <totalsRowFormula>O7+O8</totalsRow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able" altTextSummary="Enter planned employee costs.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blEmplPlan14151821" displayName="tblEmplPlan14151821" ref="B11:O18" totalsRowCount="1">
  <autoFilter ref="B11:O17" xr:uid="{00000000-0009-0000-0100-000014000000}"/>
  <tableColumns count="14">
    <tableColumn id="1" xr3:uid="{00000000-0010-0000-1300-000001000000}" name="Services Revenue" totalsRowLabel="Subtotal" dataDxfId="182" totalsRowDxfId="99"/>
    <tableColumn id="2" xr3:uid="{00000000-0010-0000-1300-000002000000}" name="Jan" totalsRowFunction="custom" dataDxfId="181" totalsRowDxfId="98">
      <totalsRowFormula>SUM(C12:C17)</totalsRowFormula>
    </tableColumn>
    <tableColumn id="3" xr3:uid="{00000000-0010-0000-1300-000003000000}" name="Feb" totalsRowFunction="custom" dataDxfId="180" totalsRowDxfId="97">
      <totalsRowFormula>SUM(D12:D17)</totalsRowFormula>
    </tableColumn>
    <tableColumn id="4" xr3:uid="{00000000-0010-0000-1300-000004000000}" name="Mar" totalsRowFunction="custom" dataDxfId="179" totalsRowDxfId="96">
      <totalsRowFormula>SUM(E12:E17)</totalsRowFormula>
    </tableColumn>
    <tableColumn id="5" xr3:uid="{00000000-0010-0000-1300-000005000000}" name="Apr" totalsRowFunction="custom" dataDxfId="178" totalsRowDxfId="95">
      <totalsRowFormula>SUM(F12:F17)</totalsRowFormula>
    </tableColumn>
    <tableColumn id="6" xr3:uid="{00000000-0010-0000-1300-000006000000}" name="May" totalsRowFunction="custom" dataDxfId="177" totalsRowDxfId="94">
      <totalsRowFormula>SUM(G12:G17)</totalsRowFormula>
    </tableColumn>
    <tableColumn id="7" xr3:uid="{00000000-0010-0000-1300-000007000000}" name="Jun" totalsRowFunction="custom" dataDxfId="176" totalsRowDxfId="93">
      <totalsRowFormula>SUM(H12:H17)</totalsRowFormula>
    </tableColumn>
    <tableColumn id="8" xr3:uid="{00000000-0010-0000-1300-000008000000}" name="Jul" totalsRowFunction="custom" dataDxfId="175" totalsRowDxfId="92">
      <totalsRowFormula>SUM(I12:I17)</totalsRowFormula>
    </tableColumn>
    <tableColumn id="9" xr3:uid="{00000000-0010-0000-1300-000009000000}" name="Aug" totalsRowFunction="custom" dataDxfId="174" totalsRowDxfId="91">
      <totalsRowFormula>SUM(J12:J17)</totalsRowFormula>
    </tableColumn>
    <tableColumn id="10" xr3:uid="{00000000-0010-0000-1300-00000A000000}" name="Sep" totalsRowFunction="custom" dataDxfId="173" totalsRowDxfId="90">
      <totalsRowFormula>SUM(K12:K17)</totalsRowFormula>
    </tableColumn>
    <tableColumn id="11" xr3:uid="{00000000-0010-0000-1300-00000B000000}" name="Oct" totalsRowFunction="custom" dataDxfId="172" totalsRowDxfId="89">
      <totalsRowFormula>SUM(L12:L17)</totalsRowFormula>
    </tableColumn>
    <tableColumn id="12" xr3:uid="{00000000-0010-0000-1300-00000C000000}" name="Nov" totalsRowFunction="custom" dataDxfId="171" totalsRowDxfId="88">
      <totalsRowFormula>SUM(M12:M17)</totalsRowFormula>
    </tableColumn>
    <tableColumn id="13" xr3:uid="{00000000-0010-0000-1300-00000D000000}" name="Dec" totalsRowFunction="custom" dataDxfId="170" totalsRowDxfId="87">
      <totalsRowFormula>SUM(N12:N17)</totalsRowFormula>
    </tableColumn>
    <tableColumn id="14" xr3:uid="{00000000-0010-0000-1300-00000E000000}" name="YEAR" totalsRowFunction="sum" dataDxfId="169" totalsRowDxfId="86">
      <calculatedColumnFormula>SUM(C12:N12)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able" altTextSummary="Enter planned employee costs.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blEmplPlan1415161922" displayName="tblEmplPlan1415161922" ref="B23:O31" totalsRowCount="1">
  <autoFilter ref="B23:O30" xr:uid="{00000000-0009-0000-0100-000015000000}"/>
  <tableColumns count="14">
    <tableColumn id="1" xr3:uid="{00000000-0010-0000-1400-000001000000}" name="COGS" totalsRowLabel="Subtotal COGS" dataDxfId="168" totalsRowDxfId="85"/>
    <tableColumn id="2" xr3:uid="{00000000-0010-0000-1400-000002000000}" name="Jan" totalsRowFunction="custom" dataDxfId="167" totalsRowDxfId="84">
      <totalsRowFormula>C24+C26+C27+C28+C29+C30</totalsRowFormula>
    </tableColumn>
    <tableColumn id="3" xr3:uid="{00000000-0010-0000-1400-000003000000}" name="Feb" totalsRowFunction="custom" dataDxfId="166" totalsRowDxfId="83">
      <totalsRowFormula>D24+D26+D27+D28+D29+D30</totalsRowFormula>
    </tableColumn>
    <tableColumn id="4" xr3:uid="{00000000-0010-0000-1400-000004000000}" name="Mar" totalsRowFunction="custom" dataDxfId="165" totalsRowDxfId="82">
      <totalsRowFormula>E24+E26+E27+E28+E29+E30</totalsRowFormula>
    </tableColumn>
    <tableColumn id="5" xr3:uid="{00000000-0010-0000-1400-000005000000}" name="Apr" totalsRowFunction="custom" dataDxfId="164" totalsRowDxfId="81">
      <totalsRowFormula>F24+F26+F27+F28+F29+F30</totalsRowFormula>
    </tableColumn>
    <tableColumn id="6" xr3:uid="{00000000-0010-0000-1400-000006000000}" name="May" totalsRowFunction="custom" dataDxfId="163" totalsRowDxfId="80">
      <totalsRowFormula>G24+G26+G27+G28+G29+G30</totalsRowFormula>
    </tableColumn>
    <tableColumn id="7" xr3:uid="{00000000-0010-0000-1400-000007000000}" name="Jun" totalsRowFunction="custom" dataDxfId="162" totalsRowDxfId="79">
      <totalsRowFormula>H24+H26+H27+H28+H29+H30</totalsRowFormula>
    </tableColumn>
    <tableColumn id="8" xr3:uid="{00000000-0010-0000-1400-000008000000}" name="Jul" totalsRowFunction="custom" dataDxfId="161" totalsRowDxfId="78">
      <totalsRowFormula>I24+I26+I27+I28+I29+I30</totalsRowFormula>
    </tableColumn>
    <tableColumn id="9" xr3:uid="{00000000-0010-0000-1400-000009000000}" name="Aug" totalsRowFunction="custom" dataDxfId="160" totalsRowDxfId="77">
      <totalsRowFormula>J24+J26+J27+J28+J29+J30</totalsRowFormula>
    </tableColumn>
    <tableColumn id="10" xr3:uid="{00000000-0010-0000-1400-00000A000000}" name="Sep" totalsRowFunction="custom" dataDxfId="159" totalsRowDxfId="76">
      <totalsRowFormula>K24+K26+K27+K28+K29+K30</totalsRowFormula>
    </tableColumn>
    <tableColumn id="11" xr3:uid="{00000000-0010-0000-1400-00000B000000}" name="Oct" totalsRowFunction="custom" dataDxfId="158" totalsRowDxfId="75">
      <totalsRowFormula>L24+L26+L27+L28+L29+L30</totalsRowFormula>
    </tableColumn>
    <tableColumn id="12" xr3:uid="{00000000-0010-0000-1400-00000C000000}" name="Nov" totalsRowFunction="custom" dataDxfId="157" totalsRowDxfId="74">
      <totalsRowFormula>M24+M26+M27+M28+M29+M30</totalsRowFormula>
    </tableColumn>
    <tableColumn id="13" xr3:uid="{00000000-0010-0000-1400-00000D000000}" name="Dec" totalsRowFunction="custom" dataDxfId="156" totalsRowDxfId="73">
      <totalsRowFormula>N24+N26+N27+N28+N29+N30</totalsRowFormula>
    </tableColumn>
    <tableColumn id="14" xr3:uid="{00000000-0010-0000-1400-00000E000000}" name="YEAR" totalsRowFunction="sum" totalsRowDxfId="72">
      <calculatedColumnFormula>SUM(C24:N24)</calculatedColumnFormula>
    </tableColumn>
  </tableColumns>
  <tableStyleInfo name="Detailed expense estimates Table" showFirstColumn="0" showLastColumn="1" showRowStripes="0" showColumnStripes="0"/>
  <extLst>
    <ext xmlns:x14="http://schemas.microsoft.com/office/spreadsheetml/2009/9/main" uri="{504A1905-F514-4f6f-8877-14C23A59335A}">
      <x14:table altText="Table" altTextSummary="Enter planned employee costs."/>
    </ext>
  </extLst>
</table>
</file>

<file path=xl/theme/theme1.xml><?xml version="1.0" encoding="utf-8"?>
<a:theme xmlns:a="http://schemas.openxmlformats.org/drawingml/2006/main" name="Office Theme">
  <a:themeElements>
    <a:clrScheme name="Detailed expense estimate">
      <a:dk1>
        <a:srgbClr val="000000"/>
      </a:dk1>
      <a:lt1>
        <a:srgbClr val="FFFFFF"/>
      </a:lt1>
      <a:dk2>
        <a:srgbClr val="1E2E2F"/>
      </a:dk2>
      <a:lt2>
        <a:srgbClr val="DEDED4"/>
      </a:lt2>
      <a:accent1>
        <a:srgbClr val="E9755A"/>
      </a:accent1>
      <a:accent2>
        <a:srgbClr val="7AB6BA"/>
      </a:accent2>
      <a:accent3>
        <a:srgbClr val="7DB587"/>
      </a:accent3>
      <a:accent4>
        <a:srgbClr val="E6BF5E"/>
      </a:accent4>
      <a:accent5>
        <a:srgbClr val="E68F4D"/>
      </a:accent5>
      <a:accent6>
        <a:srgbClr val="C26B70"/>
      </a:accent6>
      <a:hlink>
        <a:srgbClr val="7AB6BA"/>
      </a:hlink>
      <a:folHlink>
        <a:srgbClr val="A68CB1"/>
      </a:folHlink>
    </a:clrScheme>
    <a:fontScheme name="Detailed expense estimate">
      <a:majorFont>
        <a:latin typeface="Microsoft Sans Serif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.xml"/><Relationship Id="rId3" Type="http://schemas.openxmlformats.org/officeDocument/2006/relationships/table" Target="../tables/table9.xml"/><Relationship Id="rId7" Type="http://schemas.openxmlformats.org/officeDocument/2006/relationships/table" Target="../tables/table13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4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1.xml"/><Relationship Id="rId3" Type="http://schemas.openxmlformats.org/officeDocument/2006/relationships/table" Target="../tables/table16.xml"/><Relationship Id="rId7" Type="http://schemas.openxmlformats.org/officeDocument/2006/relationships/table" Target="../tables/table20.xml"/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19.xml"/><Relationship Id="rId5" Type="http://schemas.openxmlformats.org/officeDocument/2006/relationships/table" Target="../tables/table18.xml"/><Relationship Id="rId4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29"/>
  <sheetViews>
    <sheetView topLeftCell="B1" workbookViewId="0">
      <pane xSplit="1" topLeftCell="C1" activePane="topRight" state="frozen"/>
      <selection activeCell="B1" sqref="B1"/>
      <selection pane="topRight" activeCell="C10" sqref="C10"/>
    </sheetView>
  </sheetViews>
  <sheetFormatPr defaultRowHeight="15" x14ac:dyDescent="0.35"/>
  <cols>
    <col min="1" max="1" width="2.5" customWidth="1"/>
    <col min="2" max="2" width="26" customWidth="1"/>
    <col min="3" max="5" width="14.33203125" bestFit="1" customWidth="1"/>
    <col min="6" max="6" width="18" bestFit="1" customWidth="1"/>
    <col min="7" max="13" width="14.33203125" bestFit="1" customWidth="1"/>
    <col min="14" max="14" width="13" bestFit="1" customWidth="1"/>
    <col min="15" max="15" width="20.33203125" customWidth="1"/>
  </cols>
  <sheetData>
    <row r="2" spans="2:15" ht="27" x14ac:dyDescent="0.35">
      <c r="B2" s="20"/>
      <c r="C2" s="20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9.5" x14ac:dyDescent="0.35">
      <c r="B3" s="14" t="s">
        <v>133</v>
      </c>
      <c r="C3" s="4"/>
      <c r="D3" s="4"/>
      <c r="E3" s="5"/>
      <c r="F3" s="4"/>
      <c r="G3" s="4"/>
      <c r="H3" s="4"/>
      <c r="I3" s="4"/>
      <c r="J3" s="4"/>
      <c r="K3" s="4"/>
      <c r="L3" s="4"/>
      <c r="M3" s="4"/>
      <c r="N3" s="4"/>
      <c r="O3" s="4"/>
    </row>
    <row r="4" spans="2:15" ht="15.75" x14ac:dyDescent="0.35">
      <c r="B4" s="26" t="s">
        <v>106</v>
      </c>
      <c r="C4" s="6"/>
      <c r="D4" s="6"/>
      <c r="E4" s="7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5" s="1" customFormat="1" ht="21" customHeight="1" x14ac:dyDescent="0.3">
      <c r="B5" s="133"/>
      <c r="C5" s="134" t="s">
        <v>1</v>
      </c>
      <c r="D5" s="134" t="s">
        <v>2</v>
      </c>
      <c r="E5" s="135" t="s">
        <v>3</v>
      </c>
      <c r="F5" s="134" t="s">
        <v>4</v>
      </c>
      <c r="G5" s="134" t="s">
        <v>5</v>
      </c>
      <c r="H5" s="134" t="s">
        <v>6</v>
      </c>
      <c r="I5" s="135" t="s">
        <v>7</v>
      </c>
      <c r="J5" s="134" t="s">
        <v>8</v>
      </c>
      <c r="K5" s="134" t="s">
        <v>9</v>
      </c>
      <c r="L5" s="134" t="s">
        <v>10</v>
      </c>
      <c r="M5" s="134" t="s">
        <v>11</v>
      </c>
      <c r="N5" s="135" t="s">
        <v>12</v>
      </c>
      <c r="O5" s="134" t="s">
        <v>13</v>
      </c>
    </row>
    <row r="6" spans="2:15" ht="15.75" x14ac:dyDescent="0.35">
      <c r="B6" s="136" t="s">
        <v>57</v>
      </c>
      <c r="C6" s="137">
        <f>ACTUAL!B8</f>
        <v>0</v>
      </c>
      <c r="D6" s="137">
        <f>ACTUAL!C8</f>
        <v>0</v>
      </c>
      <c r="E6" s="137">
        <f>ACTUAL!D8</f>
        <v>0</v>
      </c>
      <c r="F6" s="137">
        <f>ACTUAL!E8</f>
        <v>0</v>
      </c>
      <c r="G6" s="137">
        <f>ACTUAL!F8</f>
        <v>0</v>
      </c>
      <c r="H6" s="137">
        <f>ACTUAL!G8</f>
        <v>0</v>
      </c>
      <c r="I6" s="137">
        <f>ACTUAL!H8</f>
        <v>0</v>
      </c>
      <c r="J6" s="137">
        <f>ACTUAL!I8</f>
        <v>0</v>
      </c>
      <c r="K6" s="137">
        <f>ACTUAL!J8</f>
        <v>0</v>
      </c>
      <c r="L6" s="137">
        <f>ACTUAL!K8</f>
        <v>0</v>
      </c>
      <c r="M6" s="137">
        <f>ACTUAL!L8</f>
        <v>0</v>
      </c>
      <c r="N6" s="137">
        <f>ACTUAL!M8</f>
        <v>0</v>
      </c>
      <c r="O6" s="137">
        <f>C6+D6+E6+F6+G6+H6+I6+J6+K6+L6+M6+N6</f>
        <v>0</v>
      </c>
    </row>
    <row r="7" spans="2:15" ht="15.75" x14ac:dyDescent="0.35">
      <c r="B7" s="136" t="s">
        <v>55</v>
      </c>
      <c r="C7" s="137">
        <f>ACTUAL!B19</f>
        <v>0</v>
      </c>
      <c r="D7" s="137">
        <f>ACTUAL!C19</f>
        <v>0</v>
      </c>
      <c r="E7" s="137">
        <f>ACTUAL!D19</f>
        <v>0</v>
      </c>
      <c r="F7" s="137">
        <f>ACTUAL!E19</f>
        <v>0</v>
      </c>
      <c r="G7" s="137">
        <f>ACTUAL!F19</f>
        <v>0</v>
      </c>
      <c r="H7" s="137">
        <f>ACTUAL!G19</f>
        <v>0</v>
      </c>
      <c r="I7" s="137">
        <f>ACTUAL!H19</f>
        <v>0</v>
      </c>
      <c r="J7" s="137">
        <f>ACTUAL!I19</f>
        <v>0</v>
      </c>
      <c r="K7" s="137">
        <f>ACTUAL!J19</f>
        <v>0</v>
      </c>
      <c r="L7" s="137">
        <f>ACTUAL!K19</f>
        <v>0</v>
      </c>
      <c r="M7" s="137">
        <f>ACTUAL!L19</f>
        <v>0</v>
      </c>
      <c r="N7" s="137">
        <f>ACTUAL!M19</f>
        <v>0</v>
      </c>
      <c r="O7" s="137">
        <f t="shared" ref="O7:O18" si="0">C7+D7+E7+F7+G7+H7+I7+J7+K7+L7+M7+N7</f>
        <v>0</v>
      </c>
    </row>
    <row r="8" spans="2:15" ht="15.75" x14ac:dyDescent="0.35">
      <c r="B8" s="136" t="s">
        <v>107</v>
      </c>
      <c r="C8" s="138">
        <f>ACTUAL!B22</f>
        <v>0</v>
      </c>
      <c r="D8" s="138">
        <f>ACTUAL!C22</f>
        <v>0</v>
      </c>
      <c r="E8" s="138">
        <f>ACTUAL!D22</f>
        <v>0</v>
      </c>
      <c r="F8" s="138">
        <f>ACTUAL!E22</f>
        <v>0</v>
      </c>
      <c r="G8" s="138">
        <f>ACTUAL!F22</f>
        <v>0</v>
      </c>
      <c r="H8" s="138">
        <f>ACTUAL!G22</f>
        <v>0</v>
      </c>
      <c r="I8" s="138">
        <f>ACTUAL!H22</f>
        <v>0</v>
      </c>
      <c r="J8" s="138">
        <f>ACTUAL!I22</f>
        <v>0</v>
      </c>
      <c r="K8" s="138">
        <f>ACTUAL!J22</f>
        <v>0</v>
      </c>
      <c r="L8" s="138">
        <f>ACTUAL!K22</f>
        <v>0</v>
      </c>
      <c r="M8" s="138">
        <f>ACTUAL!L22</f>
        <v>0</v>
      </c>
      <c r="N8" s="138">
        <f>ACTUAL!M22</f>
        <v>0</v>
      </c>
      <c r="O8" s="137">
        <f t="shared" si="0"/>
        <v>0</v>
      </c>
    </row>
    <row r="9" spans="2:15" ht="15.75" x14ac:dyDescent="0.35">
      <c r="B9" s="13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37">
        <f t="shared" si="0"/>
        <v>0</v>
      </c>
    </row>
    <row r="10" spans="2:15" ht="15.75" x14ac:dyDescent="0.35">
      <c r="B10" s="136" t="s">
        <v>108</v>
      </c>
      <c r="C10" s="138">
        <f>ACTUAL!B38</f>
        <v>0</v>
      </c>
      <c r="D10" s="138">
        <f>ACTUAL!C38</f>
        <v>0</v>
      </c>
      <c r="E10" s="138">
        <f>ACTUAL!D38</f>
        <v>0</v>
      </c>
      <c r="F10" s="138">
        <f>ACTUAL!E38</f>
        <v>0</v>
      </c>
      <c r="G10" s="138">
        <f>ACTUAL!F38</f>
        <v>0</v>
      </c>
      <c r="H10" s="138">
        <f>ACTUAL!G38</f>
        <v>0</v>
      </c>
      <c r="I10" s="138">
        <f>ACTUAL!H38</f>
        <v>0</v>
      </c>
      <c r="J10" s="138">
        <f>ACTUAL!I38</f>
        <v>0</v>
      </c>
      <c r="K10" s="138">
        <f>ACTUAL!J38</f>
        <v>0</v>
      </c>
      <c r="L10" s="138">
        <f>ACTUAL!K38</f>
        <v>0</v>
      </c>
      <c r="M10" s="138">
        <f>ACTUAL!L38</f>
        <v>0</v>
      </c>
      <c r="N10" s="138">
        <f>ACTUAL!M38</f>
        <v>0</v>
      </c>
      <c r="O10" s="137">
        <f t="shared" si="0"/>
        <v>0</v>
      </c>
    </row>
    <row r="11" spans="2:15" ht="15.75" x14ac:dyDescent="0.35">
      <c r="B11" s="139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37">
        <f t="shared" si="0"/>
        <v>0</v>
      </c>
    </row>
    <row r="12" spans="2:15" ht="15.75" x14ac:dyDescent="0.35">
      <c r="B12" s="136" t="s">
        <v>109</v>
      </c>
      <c r="C12" s="141">
        <f>ACTUAL!B43</f>
        <v>0</v>
      </c>
      <c r="D12" s="141">
        <f>ACTUAL!C43</f>
        <v>0</v>
      </c>
      <c r="E12" s="141">
        <f>ACTUAL!D43</f>
        <v>0</v>
      </c>
      <c r="F12" s="141">
        <f>ACTUAL!E43</f>
        <v>0</v>
      </c>
      <c r="G12" s="141">
        <f>ACTUAL!F43</f>
        <v>0</v>
      </c>
      <c r="H12" s="141">
        <f>ACTUAL!G43</f>
        <v>0</v>
      </c>
      <c r="I12" s="141">
        <f>ACTUAL!H43</f>
        <v>0</v>
      </c>
      <c r="J12" s="141">
        <f>ACTUAL!I43</f>
        <v>0</v>
      </c>
      <c r="K12" s="141">
        <f>ACTUAL!J43</f>
        <v>0</v>
      </c>
      <c r="L12" s="141">
        <f>ACTUAL!K43</f>
        <v>0</v>
      </c>
      <c r="M12" s="141">
        <f>ACTUAL!L43</f>
        <v>0</v>
      </c>
      <c r="N12" s="141">
        <f>ACTUAL!M43</f>
        <v>0</v>
      </c>
      <c r="O12" s="137">
        <f t="shared" si="0"/>
        <v>0</v>
      </c>
    </row>
    <row r="13" spans="2:15" ht="15.75" x14ac:dyDescent="0.35">
      <c r="B13" s="139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37">
        <f t="shared" si="0"/>
        <v>0</v>
      </c>
    </row>
    <row r="14" spans="2:15" ht="15.75" x14ac:dyDescent="0.35">
      <c r="B14" s="136" t="s">
        <v>110</v>
      </c>
      <c r="C14" s="137">
        <f>ACTUAL!B93</f>
        <v>0</v>
      </c>
      <c r="D14" s="137">
        <f>ACTUAL!C93</f>
        <v>0</v>
      </c>
      <c r="E14" s="137">
        <f>ACTUAL!D93</f>
        <v>0</v>
      </c>
      <c r="F14" s="137">
        <f>ACTUAL!E93</f>
        <v>0</v>
      </c>
      <c r="G14" s="137">
        <f>ACTUAL!F93</f>
        <v>0</v>
      </c>
      <c r="H14" s="137">
        <f>ACTUAL!G93</f>
        <v>0</v>
      </c>
      <c r="I14" s="137">
        <f>ACTUAL!H93</f>
        <v>0</v>
      </c>
      <c r="J14" s="137">
        <f>ACTUAL!I93</f>
        <v>0</v>
      </c>
      <c r="K14" s="137">
        <f>ACTUAL!J93</f>
        <v>0</v>
      </c>
      <c r="L14" s="137">
        <f>ACTUAL!K93</f>
        <v>0</v>
      </c>
      <c r="M14" s="137">
        <f>ACTUAL!L93</f>
        <v>0</v>
      </c>
      <c r="N14" s="137">
        <f>ACTUAL!M93</f>
        <v>0</v>
      </c>
      <c r="O14" s="137">
        <f t="shared" si="0"/>
        <v>0</v>
      </c>
    </row>
    <row r="15" spans="2:15" ht="15.75" x14ac:dyDescent="0.35">
      <c r="B15" s="139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37">
        <f t="shared" si="0"/>
        <v>0</v>
      </c>
    </row>
    <row r="16" spans="2:15" ht="15.75" x14ac:dyDescent="0.35">
      <c r="B16" s="136" t="s">
        <v>103</v>
      </c>
      <c r="C16" s="138">
        <f>ACTUAL!B97</f>
        <v>0</v>
      </c>
      <c r="D16" s="138">
        <f>ACTUAL!C97</f>
        <v>0</v>
      </c>
      <c r="E16" s="138">
        <f>ACTUAL!D97</f>
        <v>0</v>
      </c>
      <c r="F16" s="138">
        <f>ACTUAL!E97</f>
        <v>0</v>
      </c>
      <c r="G16" s="138">
        <f>ACTUAL!F97</f>
        <v>0</v>
      </c>
      <c r="H16" s="138">
        <f>ACTUAL!G97</f>
        <v>0</v>
      </c>
      <c r="I16" s="138">
        <f>ACTUAL!H97</f>
        <v>0</v>
      </c>
      <c r="J16" s="138">
        <f>ACTUAL!I97</f>
        <v>0</v>
      </c>
      <c r="K16" s="138">
        <f>ACTUAL!J97</f>
        <v>0</v>
      </c>
      <c r="L16" s="138">
        <f>ACTUAL!K97</f>
        <v>0</v>
      </c>
      <c r="M16" s="138">
        <f>ACTUAL!L97</f>
        <v>0</v>
      </c>
      <c r="N16" s="138">
        <f>ACTUAL!M97</f>
        <v>0</v>
      </c>
      <c r="O16" s="137">
        <f t="shared" si="0"/>
        <v>0</v>
      </c>
    </row>
    <row r="17" spans="2:15" ht="15.75" x14ac:dyDescent="0.35">
      <c r="B17" s="136" t="s">
        <v>63</v>
      </c>
      <c r="C17" s="137">
        <f>ACTUAL!B98</f>
        <v>0</v>
      </c>
      <c r="D17" s="137">
        <f>ACTUAL!C98</f>
        <v>0</v>
      </c>
      <c r="E17" s="137">
        <f>ACTUAL!D98</f>
        <v>0</v>
      </c>
      <c r="F17" s="137">
        <f>ACTUAL!E98</f>
        <v>0</v>
      </c>
      <c r="G17" s="137">
        <f>ACTUAL!F98</f>
        <v>0</v>
      </c>
      <c r="H17" s="137">
        <f>ACTUAL!G98</f>
        <v>0</v>
      </c>
      <c r="I17" s="137">
        <f>ACTUAL!H98</f>
        <v>0</v>
      </c>
      <c r="J17" s="137">
        <f>ACTUAL!I98</f>
        <v>0</v>
      </c>
      <c r="K17" s="137">
        <f>ACTUAL!J98</f>
        <v>0</v>
      </c>
      <c r="L17" s="137">
        <f>ACTUAL!K98</f>
        <v>0</v>
      </c>
      <c r="M17" s="137">
        <f>ACTUAL!L98</f>
        <v>0</v>
      </c>
      <c r="N17" s="137">
        <f>ACTUAL!M98</f>
        <v>0</v>
      </c>
      <c r="O17" s="137">
        <f t="shared" si="0"/>
        <v>0</v>
      </c>
    </row>
    <row r="18" spans="2:15" ht="15.75" x14ac:dyDescent="0.35">
      <c r="B18" s="142" t="s">
        <v>104</v>
      </c>
      <c r="C18" s="143">
        <f>ACTUAL!B99</f>
        <v>0</v>
      </c>
      <c r="D18" s="143">
        <f>ACTUAL!C99</f>
        <v>0</v>
      </c>
      <c r="E18" s="143">
        <f>ACTUAL!D99</f>
        <v>0</v>
      </c>
      <c r="F18" s="143">
        <f>ACTUAL!E99</f>
        <v>0</v>
      </c>
      <c r="G18" s="143">
        <f>ACTUAL!F99</f>
        <v>0</v>
      </c>
      <c r="H18" s="143">
        <f>ACTUAL!G99</f>
        <v>0</v>
      </c>
      <c r="I18" s="143">
        <f>ACTUAL!H99</f>
        <v>0</v>
      </c>
      <c r="J18" s="143">
        <f>ACTUAL!I99</f>
        <v>0</v>
      </c>
      <c r="K18" s="143">
        <f>ACTUAL!J99</f>
        <v>0</v>
      </c>
      <c r="L18" s="143">
        <f>ACTUAL!K99</f>
        <v>0</v>
      </c>
      <c r="M18" s="143">
        <f>ACTUAL!L99</f>
        <v>0</v>
      </c>
      <c r="N18" s="143">
        <f>ACTUAL!M99</f>
        <v>0</v>
      </c>
      <c r="O18" s="137">
        <f t="shared" si="0"/>
        <v>0</v>
      </c>
    </row>
    <row r="20" spans="2:15" ht="15.75" x14ac:dyDescent="0.35">
      <c r="B20" s="178" t="s">
        <v>146</v>
      </c>
      <c r="C20" s="179" t="e">
        <f>C16/C8</f>
        <v>#DIV/0!</v>
      </c>
      <c r="D20" s="179" t="e">
        <f t="shared" ref="D20:O20" si="1">D16/D8</f>
        <v>#DIV/0!</v>
      </c>
      <c r="E20" s="179" t="e">
        <f t="shared" si="1"/>
        <v>#DIV/0!</v>
      </c>
      <c r="F20" s="179" t="e">
        <f t="shared" si="1"/>
        <v>#DIV/0!</v>
      </c>
      <c r="G20" s="179" t="e">
        <f t="shared" si="1"/>
        <v>#DIV/0!</v>
      </c>
      <c r="H20" s="179" t="e">
        <f t="shared" si="1"/>
        <v>#DIV/0!</v>
      </c>
      <c r="I20" s="179" t="e">
        <f t="shared" si="1"/>
        <v>#DIV/0!</v>
      </c>
      <c r="J20" s="179" t="e">
        <f t="shared" si="1"/>
        <v>#DIV/0!</v>
      </c>
      <c r="K20" s="179" t="e">
        <f t="shared" si="1"/>
        <v>#DIV/0!</v>
      </c>
      <c r="L20" s="179" t="e">
        <f t="shared" si="1"/>
        <v>#DIV/0!</v>
      </c>
      <c r="M20" s="179" t="e">
        <f t="shared" si="1"/>
        <v>#DIV/0!</v>
      </c>
      <c r="N20" s="179" t="e">
        <f t="shared" si="1"/>
        <v>#DIV/0!</v>
      </c>
      <c r="O20" s="179" t="e">
        <f t="shared" si="1"/>
        <v>#DIV/0!</v>
      </c>
    </row>
    <row r="21" spans="2:15" ht="15.75" x14ac:dyDescent="0.35">
      <c r="B21" s="178" t="s">
        <v>147</v>
      </c>
      <c r="C21" s="179" t="e">
        <f>(C16/C8)*0.75</f>
        <v>#DIV/0!</v>
      </c>
      <c r="D21" s="179" t="e">
        <f t="shared" ref="D21:O21" si="2">(D16/D8)*0.75</f>
        <v>#DIV/0!</v>
      </c>
      <c r="E21" s="179" t="e">
        <f t="shared" si="2"/>
        <v>#DIV/0!</v>
      </c>
      <c r="F21" s="179" t="e">
        <f t="shared" si="2"/>
        <v>#DIV/0!</v>
      </c>
      <c r="G21" s="179" t="e">
        <f t="shared" si="2"/>
        <v>#DIV/0!</v>
      </c>
      <c r="H21" s="179" t="e">
        <f t="shared" si="2"/>
        <v>#DIV/0!</v>
      </c>
      <c r="I21" s="179" t="e">
        <f t="shared" si="2"/>
        <v>#DIV/0!</v>
      </c>
      <c r="J21" s="179" t="e">
        <f t="shared" si="2"/>
        <v>#DIV/0!</v>
      </c>
      <c r="K21" s="179" t="e">
        <f t="shared" si="2"/>
        <v>#DIV/0!</v>
      </c>
      <c r="L21" s="179" t="e">
        <f t="shared" si="2"/>
        <v>#DIV/0!</v>
      </c>
      <c r="M21" s="179" t="e">
        <f t="shared" si="2"/>
        <v>#DIV/0!</v>
      </c>
      <c r="N21" s="179" t="e">
        <f t="shared" si="2"/>
        <v>#DIV/0!</v>
      </c>
      <c r="O21" s="179" t="e">
        <f t="shared" si="2"/>
        <v>#DIV/0!</v>
      </c>
    </row>
    <row r="22" spans="2:15" ht="15.75" x14ac:dyDescent="0.35">
      <c r="B22" s="178" t="s">
        <v>131</v>
      </c>
      <c r="C22" s="179" t="e">
        <f>C12/C8</f>
        <v>#DIV/0!</v>
      </c>
      <c r="D22" s="179" t="e">
        <f t="shared" ref="D22:O22" si="3">D12/D8</f>
        <v>#DIV/0!</v>
      </c>
      <c r="E22" s="179" t="e">
        <f t="shared" si="3"/>
        <v>#DIV/0!</v>
      </c>
      <c r="F22" s="179" t="e">
        <f t="shared" si="3"/>
        <v>#DIV/0!</v>
      </c>
      <c r="G22" s="179" t="e">
        <f t="shared" si="3"/>
        <v>#DIV/0!</v>
      </c>
      <c r="H22" s="179" t="e">
        <f t="shared" si="3"/>
        <v>#DIV/0!</v>
      </c>
      <c r="I22" s="179" t="e">
        <f t="shared" si="3"/>
        <v>#DIV/0!</v>
      </c>
      <c r="J22" s="179" t="e">
        <f t="shared" si="3"/>
        <v>#DIV/0!</v>
      </c>
      <c r="K22" s="179" t="e">
        <f t="shared" si="3"/>
        <v>#DIV/0!</v>
      </c>
      <c r="L22" s="179" t="e">
        <f t="shared" si="3"/>
        <v>#DIV/0!</v>
      </c>
      <c r="M22" s="179" t="e">
        <f t="shared" si="3"/>
        <v>#DIV/0!</v>
      </c>
      <c r="N22" s="179" t="e">
        <f t="shared" si="3"/>
        <v>#DIV/0!</v>
      </c>
      <c r="O22" s="179" t="e">
        <f t="shared" si="3"/>
        <v>#DIV/0!</v>
      </c>
    </row>
    <row r="23" spans="2:15" ht="15.75" x14ac:dyDescent="0.35">
      <c r="B23" s="178" t="s">
        <v>132</v>
      </c>
      <c r="C23" s="180">
        <f>ACTUAL!B11+ACTUAL!B12</f>
        <v>0</v>
      </c>
      <c r="D23" s="180">
        <f>ACTUAL!C11+ACTUAL!C12</f>
        <v>0</v>
      </c>
      <c r="E23" s="180">
        <f>ACTUAL!D11+ACTUAL!D12</f>
        <v>0</v>
      </c>
      <c r="F23" s="180">
        <f>ACTUAL!E11+ACTUAL!E12</f>
        <v>0</v>
      </c>
      <c r="G23" s="180">
        <f>ACTUAL!F11+ACTUAL!F12</f>
        <v>0</v>
      </c>
      <c r="H23" s="180">
        <f>ACTUAL!G11+ACTUAL!G12</f>
        <v>0</v>
      </c>
      <c r="I23" s="180">
        <f>ACTUAL!H11+ACTUAL!H12</f>
        <v>0</v>
      </c>
      <c r="J23" s="180">
        <f>ACTUAL!I11+ACTUAL!I12</f>
        <v>0</v>
      </c>
      <c r="K23" s="180">
        <f>ACTUAL!J11+ACTUAL!J12</f>
        <v>0</v>
      </c>
      <c r="L23" s="180">
        <f>ACTUAL!K11+ACTUAL!K12</f>
        <v>0</v>
      </c>
      <c r="M23" s="180">
        <f>ACTUAL!L11+ACTUAL!L12</f>
        <v>0</v>
      </c>
      <c r="N23" s="180">
        <f>ACTUAL!M11+ACTUAL!M12</f>
        <v>0</v>
      </c>
      <c r="O23" s="180">
        <f>ACTUAL!N11+ACTUAL!N12</f>
        <v>0</v>
      </c>
    </row>
    <row r="25" spans="2:15" ht="15.75" x14ac:dyDescent="0.35">
      <c r="B25" s="151" t="s">
        <v>114</v>
      </c>
      <c r="F25" s="151" t="s">
        <v>116</v>
      </c>
    </row>
    <row r="26" spans="2:15" ht="15.75" x14ac:dyDescent="0.35">
      <c r="B26" s="152" t="s">
        <v>117</v>
      </c>
      <c r="C26" s="150" t="e">
        <f>ACTUAL!N6/ACTUAL!N22</f>
        <v>#DIV/0!</v>
      </c>
      <c r="F26" s="154" t="s">
        <v>118</v>
      </c>
      <c r="G26" s="155" t="e">
        <f>(ACTUAL!N34+ACTUAL!N35+ACTUAL!N37+ACTUAL!N47+ACTUAL!N48+ACTUAL!N82+ACTUAL!N83+ACTUAL!N84)/(ACTUAL!N34+ACTUAL!N35+ACTUAL!N37+ACTUAL!N47+ACTUAL!N48+ACTUAL!N49+ACTUAL!N72+ACTUAL!N85+ACTUAL!N90)</f>
        <v>#DIV/0!</v>
      </c>
    </row>
    <row r="27" spans="2:15" x14ac:dyDescent="0.35">
      <c r="B27" t="s">
        <v>86</v>
      </c>
      <c r="C27" s="150" t="e">
        <f>(ACTUAL!N11+ACTUAL!N12)/ACTUAL!N22</f>
        <v>#DIV/0!</v>
      </c>
      <c r="F27" s="153" t="s">
        <v>17</v>
      </c>
      <c r="G27" s="150" t="e">
        <f>ACTUAL!N72/(ACTUAL!N93+ACTUAL!N50+ACTUAL!N34+ACTUAL!N35+ACTUAL!N37+ACTUAL!N82+ACTUAL!N83+ACTUAL!N84)</f>
        <v>#DIV/0!</v>
      </c>
    </row>
    <row r="28" spans="2:15" x14ac:dyDescent="0.35">
      <c r="B28" t="s">
        <v>115</v>
      </c>
      <c r="C28" s="150" t="e">
        <f>(ACTUAL!N13+ACTUAL!N14)/ACTUAL!N22</f>
        <v>#DIV/0!</v>
      </c>
      <c r="F28" s="153" t="s">
        <v>119</v>
      </c>
      <c r="G28" s="150" t="e">
        <f>ACTUAL!N85/(ACTUAL!N93+ACTUAL!N50+ACTUAL!N34+ACTUAL!N35+ACTUAL!N37+ACTUAL!N82+ACTUAL!N83+ACTUAL!N84)</f>
        <v>#DIV/0!</v>
      </c>
    </row>
    <row r="29" spans="2:15" x14ac:dyDescent="0.35">
      <c r="B29" t="s">
        <v>88</v>
      </c>
      <c r="C29" s="150" t="e">
        <f>ACTUAL!N16/ACTUAL!N22</f>
        <v>#DIV/0!</v>
      </c>
      <c r="F29" s="153" t="s">
        <v>120</v>
      </c>
      <c r="G29" s="150" t="e">
        <f>ACTUAL!N90/(ACTUAL!N93+ACTUAL!N50+ACTUAL!N34+ACTUAL!N35+ACTUAL!N37+ACTUAL!N82+ACTUAL!N83+ACTUAL!N84)</f>
        <v>#DIV/0!</v>
      </c>
    </row>
  </sheetData>
  <pageMargins left="0.25" right="0.25" top="0.75" bottom="0.75" header="0.3" footer="0.3"/>
  <pageSetup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4"/>
    <pageSetUpPr autoPageBreaks="0" fitToPage="1"/>
  </sheetPr>
  <dimension ref="A1:N143"/>
  <sheetViews>
    <sheetView showGridLines="0" tabSelected="1" topLeftCell="A83" zoomScale="90" zoomScaleNormal="90" workbookViewId="0">
      <pane xSplit="1" topLeftCell="B1" activePane="topRight" state="frozen"/>
      <selection pane="topRight" activeCell="B15" sqref="B15"/>
    </sheetView>
  </sheetViews>
  <sheetFormatPr defaultColWidth="9.33203125" defaultRowHeight="21" customHeight="1" x14ac:dyDescent="0.3"/>
  <cols>
    <col min="1" max="1" width="35.83203125" style="1" customWidth="1"/>
    <col min="2" max="2" width="13.83203125" style="1" customWidth="1"/>
    <col min="3" max="4" width="13.83203125" style="1" bestFit="1" customWidth="1"/>
    <col min="5" max="5" width="13.83203125" style="1" customWidth="1"/>
    <col min="6" max="9" width="13.83203125" style="1" bestFit="1" customWidth="1"/>
    <col min="10" max="13" width="15.6640625" style="1" bestFit="1" customWidth="1"/>
    <col min="14" max="14" width="12.5" style="1" bestFit="1" customWidth="1"/>
    <col min="15" max="16384" width="9.33203125" style="1"/>
  </cols>
  <sheetData>
    <row r="1" spans="1:14" ht="9.9499999999999993" customHeight="1" x14ac:dyDescent="0.3"/>
    <row r="2" spans="1:14" ht="27" x14ac:dyDescent="0.35">
      <c r="A2" s="20"/>
      <c r="B2" s="20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.75" x14ac:dyDescent="0.3">
      <c r="A3" s="14" t="s">
        <v>53</v>
      </c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5" customHeight="1" x14ac:dyDescent="0.3">
      <c r="A4" s="26" t="s">
        <v>23</v>
      </c>
      <c r="B4" s="6"/>
      <c r="C4" s="6"/>
      <c r="D4" s="7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21" customHeight="1" x14ac:dyDescent="0.3">
      <c r="A5" s="17" t="s">
        <v>56</v>
      </c>
      <c r="B5" s="15" t="s">
        <v>1</v>
      </c>
      <c r="C5" s="15" t="s">
        <v>2</v>
      </c>
      <c r="D5" s="16" t="s">
        <v>3</v>
      </c>
      <c r="E5" s="15" t="s">
        <v>4</v>
      </c>
      <c r="F5" s="15" t="s">
        <v>5</v>
      </c>
      <c r="G5" s="15" t="s">
        <v>6</v>
      </c>
      <c r="H5" s="16" t="s">
        <v>7</v>
      </c>
      <c r="I5" s="15" t="s">
        <v>8</v>
      </c>
      <c r="J5" s="15" t="s">
        <v>9</v>
      </c>
      <c r="K5" s="15" t="s">
        <v>10</v>
      </c>
      <c r="L5" s="15" t="s">
        <v>11</v>
      </c>
      <c r="M5" s="16" t="s">
        <v>12</v>
      </c>
      <c r="N5" s="15" t="s">
        <v>13</v>
      </c>
    </row>
    <row r="6" spans="1:14" s="8" customFormat="1" ht="21" customHeight="1" x14ac:dyDescent="0.3">
      <c r="A6" s="39" t="s">
        <v>57</v>
      </c>
      <c r="B6" s="35" t="s">
        <v>1</v>
      </c>
      <c r="C6" s="35" t="s">
        <v>2</v>
      </c>
      <c r="D6" s="36" t="s">
        <v>3</v>
      </c>
      <c r="E6" s="35" t="s">
        <v>4</v>
      </c>
      <c r="F6" s="35" t="s">
        <v>5</v>
      </c>
      <c r="G6" s="35" t="s">
        <v>6</v>
      </c>
      <c r="H6" s="35" t="s">
        <v>7</v>
      </c>
      <c r="I6" s="35" t="s">
        <v>8</v>
      </c>
      <c r="J6" s="35" t="s">
        <v>9</v>
      </c>
      <c r="K6" s="35" t="s">
        <v>10</v>
      </c>
      <c r="L6" s="35" t="s">
        <v>11</v>
      </c>
      <c r="M6" s="35" t="s">
        <v>12</v>
      </c>
      <c r="N6" s="35" t="s">
        <v>13</v>
      </c>
    </row>
    <row r="7" spans="1:14" ht="21" customHeight="1" x14ac:dyDescent="0.35">
      <c r="A7" s="64" t="s">
        <v>54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>
        <f>SUM(B7:M7)</f>
        <v>0</v>
      </c>
    </row>
    <row r="8" spans="1:14" ht="21" customHeight="1" x14ac:dyDescent="0.3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>
        <f>SUM(B8:M8)</f>
        <v>0</v>
      </c>
    </row>
    <row r="9" spans="1:14" ht="21" customHeight="1" x14ac:dyDescent="0.35">
      <c r="A9" s="64" t="s">
        <v>16</v>
      </c>
      <c r="B9" s="85">
        <f>B7+B8</f>
        <v>0</v>
      </c>
      <c r="C9" s="85">
        <f t="shared" ref="C9:M9" si="0">C7+C8</f>
        <v>0</v>
      </c>
      <c r="D9" s="85">
        <f t="shared" si="0"/>
        <v>0</v>
      </c>
      <c r="E9" s="85">
        <f t="shared" si="0"/>
        <v>0</v>
      </c>
      <c r="F9" s="85">
        <f t="shared" si="0"/>
        <v>0</v>
      </c>
      <c r="G9" s="85">
        <f t="shared" si="0"/>
        <v>0</v>
      </c>
      <c r="H9" s="85">
        <f t="shared" si="0"/>
        <v>0</v>
      </c>
      <c r="I9" s="85">
        <f t="shared" si="0"/>
        <v>0</v>
      </c>
      <c r="J9" s="85">
        <f t="shared" si="0"/>
        <v>0</v>
      </c>
      <c r="K9" s="85">
        <f t="shared" si="0"/>
        <v>0</v>
      </c>
      <c r="L9" s="85">
        <f t="shared" si="0"/>
        <v>0</v>
      </c>
      <c r="M9" s="85">
        <f t="shared" si="0"/>
        <v>0</v>
      </c>
      <c r="N9" s="85">
        <f t="shared" ref="N9" si="1">N7+N8</f>
        <v>0</v>
      </c>
    </row>
    <row r="10" spans="1:14" ht="15" customHeight="1" x14ac:dyDescent="0.3">
      <c r="A10" s="71"/>
      <c r="B10" s="72"/>
      <c r="C10" s="72"/>
      <c r="D10" s="73"/>
      <c r="E10" s="72"/>
      <c r="F10" s="72"/>
      <c r="G10" s="72"/>
      <c r="H10" s="72"/>
      <c r="I10" s="72"/>
      <c r="J10" s="72"/>
      <c r="K10" s="72"/>
      <c r="L10" s="72"/>
      <c r="M10" s="72"/>
      <c r="N10" s="72"/>
    </row>
    <row r="11" spans="1:14" s="8" customFormat="1" ht="21" customHeight="1" x14ac:dyDescent="0.3">
      <c r="A11" s="62" t="s">
        <v>55</v>
      </c>
      <c r="B11" s="63" t="s">
        <v>1</v>
      </c>
      <c r="C11" s="63" t="s">
        <v>2</v>
      </c>
      <c r="D11" s="63" t="s">
        <v>3</v>
      </c>
      <c r="E11" s="63" t="s">
        <v>4</v>
      </c>
      <c r="F11" s="63" t="s">
        <v>5</v>
      </c>
      <c r="G11" s="63" t="s">
        <v>6</v>
      </c>
      <c r="H11" s="63" t="s">
        <v>7</v>
      </c>
      <c r="I11" s="63" t="s">
        <v>8</v>
      </c>
      <c r="J11" s="63" t="s">
        <v>9</v>
      </c>
      <c r="K11" s="63" t="s">
        <v>10</v>
      </c>
      <c r="L11" s="63" t="s">
        <v>11</v>
      </c>
      <c r="M11" s="63" t="s">
        <v>12</v>
      </c>
      <c r="N11" s="63" t="s">
        <v>13</v>
      </c>
    </row>
    <row r="12" spans="1:14" ht="21" customHeight="1" x14ac:dyDescent="0.35">
      <c r="A12" s="64" t="s">
        <v>124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>
        <f t="shared" ref="N12:N19" si="2">SUM(B12:M12)</f>
        <v>0</v>
      </c>
    </row>
    <row r="13" spans="1:14" ht="21" customHeight="1" x14ac:dyDescent="0.35">
      <c r="A13" s="157" t="s">
        <v>123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>
        <f t="shared" si="2"/>
        <v>0</v>
      </c>
    </row>
    <row r="14" spans="1:14" ht="21" customHeight="1" x14ac:dyDescent="0.35">
      <c r="A14" s="66" t="s">
        <v>58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>
        <f t="shared" si="2"/>
        <v>0</v>
      </c>
    </row>
    <row r="15" spans="1:14" ht="21" customHeight="1" x14ac:dyDescent="0.35">
      <c r="A15" s="64" t="s">
        <v>135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>
        <f>SUM(B15:M15)</f>
        <v>0</v>
      </c>
    </row>
    <row r="16" spans="1:14" ht="21" customHeight="1" x14ac:dyDescent="0.35">
      <c r="A16" s="185" t="s">
        <v>136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>
        <f>SUM(B16:M16)</f>
        <v>0</v>
      </c>
    </row>
    <row r="17" spans="1:14" ht="21" customHeight="1" x14ac:dyDescent="0.35">
      <c r="A17" s="66" t="s">
        <v>59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>
        <f t="shared" si="2"/>
        <v>0</v>
      </c>
    </row>
    <row r="18" spans="1:14" ht="21" hidden="1" customHeight="1" x14ac:dyDescent="0.35">
      <c r="A18" s="64" t="s">
        <v>60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>
        <f t="shared" si="2"/>
        <v>0</v>
      </c>
    </row>
    <row r="19" spans="1:14" ht="21" customHeight="1" x14ac:dyDescent="0.35">
      <c r="A19" s="74" t="s">
        <v>61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>
        <f t="shared" si="2"/>
        <v>0</v>
      </c>
    </row>
    <row r="20" spans="1:14" ht="21" customHeight="1" x14ac:dyDescent="0.35">
      <c r="A20" s="64" t="s">
        <v>16</v>
      </c>
      <c r="B20" s="85">
        <f>SUM(B12:B19)</f>
        <v>0</v>
      </c>
      <c r="C20" s="85">
        <f t="shared" ref="C20:M20" si="3">SUM(C12:C19)</f>
        <v>0</v>
      </c>
      <c r="D20" s="85">
        <f t="shared" si="3"/>
        <v>0</v>
      </c>
      <c r="E20" s="85">
        <f t="shared" si="3"/>
        <v>0</v>
      </c>
      <c r="F20" s="85">
        <f t="shared" si="3"/>
        <v>0</v>
      </c>
      <c r="G20" s="85">
        <f t="shared" si="3"/>
        <v>0</v>
      </c>
      <c r="H20" s="85">
        <f t="shared" si="3"/>
        <v>0</v>
      </c>
      <c r="I20" s="85">
        <f t="shared" si="3"/>
        <v>0</v>
      </c>
      <c r="J20" s="85">
        <f t="shared" si="3"/>
        <v>0</v>
      </c>
      <c r="K20" s="85">
        <f t="shared" si="3"/>
        <v>0</v>
      </c>
      <c r="L20" s="85">
        <f t="shared" si="3"/>
        <v>0</v>
      </c>
      <c r="M20" s="85">
        <f t="shared" si="3"/>
        <v>0</v>
      </c>
      <c r="N20" s="85">
        <f>SUM(tblEmplPlan1415[YEAR])</f>
        <v>0</v>
      </c>
    </row>
    <row r="21" spans="1:14" ht="21" customHeight="1" x14ac:dyDescent="0.35">
      <c r="A21" s="66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</row>
    <row r="22" spans="1:14" ht="21" customHeight="1" x14ac:dyDescent="0.3">
      <c r="A22" s="75" t="s">
        <v>72</v>
      </c>
      <c r="B22" s="76"/>
      <c r="C22" s="76"/>
      <c r="D22" s="77"/>
      <c r="E22" s="76"/>
      <c r="F22" s="76"/>
      <c r="G22" s="76"/>
      <c r="H22" s="76"/>
      <c r="I22" s="76"/>
      <c r="J22" s="76"/>
      <c r="K22" s="76"/>
      <c r="L22" s="76"/>
      <c r="M22" s="76"/>
      <c r="N22" s="76"/>
    </row>
    <row r="23" spans="1:14" ht="21" customHeight="1" x14ac:dyDescent="0.35">
      <c r="A23" s="78" t="s">
        <v>62</v>
      </c>
      <c r="B23" s="79">
        <f>tblEmplPlan14[[#Totals],[Jan]]+tblEmplPlan1415[[#Totals],[Jan]]</f>
        <v>0</v>
      </c>
      <c r="C23" s="79">
        <f>tblEmplPlan14[[#Totals],[Feb]]+tblEmplPlan1415[[#Totals],[Feb]]</f>
        <v>0</v>
      </c>
      <c r="D23" s="79">
        <f>tblEmplPlan14[[#Totals],[Mar]]+tblEmplPlan1415[[#Totals],[Mar]]</f>
        <v>0</v>
      </c>
      <c r="E23" s="79">
        <f>tblEmplPlan14[[#Totals],[Apr]]+tblEmplPlan1415[[#Totals],[Apr]]</f>
        <v>0</v>
      </c>
      <c r="F23" s="79">
        <f>tblEmplPlan14[[#Totals],[May]]+tblEmplPlan1415[[#Totals],[May]]</f>
        <v>0</v>
      </c>
      <c r="G23" s="79">
        <f>tblEmplPlan14[[#Totals],[Jun]]+tblEmplPlan1415[[#Totals],[Jun]]</f>
        <v>0</v>
      </c>
      <c r="H23" s="79">
        <f>tblEmplPlan14[[#Totals],[Jul]]+tblEmplPlan1415[[#Totals],[Jul]]</f>
        <v>0</v>
      </c>
      <c r="I23" s="79">
        <f>tblEmplPlan14[[#Totals],[Aug]]+tblEmplPlan1415[[#Totals],[Aug]]</f>
        <v>0</v>
      </c>
      <c r="J23" s="79">
        <f>tblEmplPlan14[[#Totals],[Sep]]+tblEmplPlan1415[[#Totals],[Sep]]</f>
        <v>0</v>
      </c>
      <c r="K23" s="79">
        <f>tblEmplPlan14[[#Totals],[Oct]]+tblEmplPlan1415[[#Totals],[Oct]]</f>
        <v>0</v>
      </c>
      <c r="L23" s="79">
        <f>tblEmplPlan14[[#Totals],[Nov]]+tblEmplPlan1415[[#Totals],[Nov]]</f>
        <v>0</v>
      </c>
      <c r="M23" s="79">
        <f>tblEmplPlan14[[#Totals],[Dec]]+tblEmplPlan1415[[#Totals],[Dec]]</f>
        <v>0</v>
      </c>
      <c r="N23" s="111">
        <f>SUM(B23:M23)</f>
        <v>0</v>
      </c>
    </row>
    <row r="24" spans="1:14" s="49" customFormat="1" ht="21" customHeight="1" x14ac:dyDescent="0.35">
      <c r="A24" s="81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</row>
    <row r="25" spans="1:14" ht="21" customHeight="1" x14ac:dyDescent="0.3">
      <c r="A25" s="62" t="s">
        <v>65</v>
      </c>
      <c r="B25" s="63" t="s">
        <v>1</v>
      </c>
      <c r="C25" s="63" t="s">
        <v>2</v>
      </c>
      <c r="D25" s="63" t="s">
        <v>3</v>
      </c>
      <c r="E25" s="63" t="s">
        <v>4</v>
      </c>
      <c r="F25" s="63" t="s">
        <v>5</v>
      </c>
      <c r="G25" s="63" t="s">
        <v>6</v>
      </c>
      <c r="H25" s="63" t="s">
        <v>7</v>
      </c>
      <c r="I25" s="63" t="s">
        <v>8</v>
      </c>
      <c r="J25" s="63" t="s">
        <v>9</v>
      </c>
      <c r="K25" s="63" t="s">
        <v>10</v>
      </c>
      <c r="L25" s="63" t="s">
        <v>11</v>
      </c>
      <c r="M25" s="63" t="s">
        <v>12</v>
      </c>
      <c r="N25" s="63" t="s">
        <v>13</v>
      </c>
    </row>
    <row r="26" spans="1:14" ht="21" customHeight="1" x14ac:dyDescent="0.35">
      <c r="A26" s="83" t="s">
        <v>71</v>
      </c>
      <c r="B26" s="187"/>
      <c r="C26" s="187"/>
      <c r="D26" s="187"/>
      <c r="E26" s="187"/>
      <c r="F26" s="187"/>
      <c r="G26" s="187"/>
      <c r="H26" s="187"/>
      <c r="I26" s="187"/>
      <c r="J26" s="187"/>
      <c r="K26" s="187"/>
      <c r="L26" s="187"/>
      <c r="M26" s="187"/>
      <c r="N26" s="188">
        <f t="shared" ref="N26:N33" si="4">SUM(B26:M26)</f>
        <v>0</v>
      </c>
    </row>
    <row r="27" spans="1:14" ht="21" customHeight="1" x14ac:dyDescent="0.35">
      <c r="A27" s="172" t="s">
        <v>140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48">
        <f t="shared" si="4"/>
        <v>0</v>
      </c>
    </row>
    <row r="28" spans="1:14" ht="21" customHeight="1" x14ac:dyDescent="0.35">
      <c r="A28" s="64" t="s">
        <v>66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120">
        <f t="shared" si="4"/>
        <v>0</v>
      </c>
    </row>
    <row r="29" spans="1:14" ht="21" customHeight="1" x14ac:dyDescent="0.35">
      <c r="A29" s="66" t="s">
        <v>67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120">
        <f t="shared" si="4"/>
        <v>0</v>
      </c>
    </row>
    <row r="30" spans="1:14" ht="21" customHeight="1" x14ac:dyDescent="0.35">
      <c r="A30" s="185" t="s">
        <v>137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186">
        <f>SUM(B30:M30)</f>
        <v>0</v>
      </c>
    </row>
    <row r="31" spans="1:14" ht="21" customHeight="1" x14ac:dyDescent="0.35">
      <c r="A31" s="66" t="s">
        <v>68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120">
        <f t="shared" si="4"/>
        <v>0</v>
      </c>
    </row>
    <row r="32" spans="1:14" ht="21" hidden="1" customHeight="1" x14ac:dyDescent="0.35">
      <c r="A32" s="64" t="s">
        <v>69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120">
        <f t="shared" si="4"/>
        <v>0</v>
      </c>
    </row>
    <row r="33" spans="1:14" ht="21" customHeight="1" x14ac:dyDescent="0.35">
      <c r="A33" s="173" t="s">
        <v>126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120">
        <f t="shared" si="4"/>
        <v>0</v>
      </c>
    </row>
    <row r="34" spans="1:14" ht="21" customHeight="1" x14ac:dyDescent="0.35">
      <c r="A34" s="17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175">
        <f>SUM(B34:M34)</f>
        <v>0</v>
      </c>
    </row>
    <row r="35" spans="1:14" ht="21" customHeight="1" x14ac:dyDescent="0.35">
      <c r="A35" s="66" t="s">
        <v>78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175">
        <f t="shared" ref="N35:N38" si="5">SUM(B35:M35)</f>
        <v>0</v>
      </c>
    </row>
    <row r="36" spans="1:14" ht="21" customHeight="1" x14ac:dyDescent="0.35">
      <c r="A36" s="66" t="s">
        <v>81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175">
        <f t="shared" si="5"/>
        <v>0</v>
      </c>
    </row>
    <row r="37" spans="1:14" ht="21" customHeight="1" x14ac:dyDescent="0.35">
      <c r="A37" s="169" t="s">
        <v>134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175">
        <f>SUM(B37:M37)</f>
        <v>0</v>
      </c>
    </row>
    <row r="38" spans="1:14" ht="21" customHeight="1" x14ac:dyDescent="0.35">
      <c r="A38" s="66" t="s">
        <v>80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175">
        <f t="shared" si="5"/>
        <v>0</v>
      </c>
    </row>
    <row r="39" spans="1:14" ht="21" customHeight="1" x14ac:dyDescent="0.35">
      <c r="A39" s="64" t="s">
        <v>77</v>
      </c>
      <c r="B39" s="85">
        <f>SUM(B26:B38)</f>
        <v>0</v>
      </c>
      <c r="C39" s="85">
        <f t="shared" ref="C39:M39" si="6">SUM(C26:C38)</f>
        <v>0</v>
      </c>
      <c r="D39" s="85">
        <f t="shared" si="6"/>
        <v>0</v>
      </c>
      <c r="E39" s="85">
        <f t="shared" si="6"/>
        <v>0</v>
      </c>
      <c r="F39" s="85">
        <f t="shared" si="6"/>
        <v>0</v>
      </c>
      <c r="G39" s="85">
        <f t="shared" si="6"/>
        <v>0</v>
      </c>
      <c r="H39" s="85">
        <f t="shared" si="6"/>
        <v>0</v>
      </c>
      <c r="I39" s="85">
        <f t="shared" si="6"/>
        <v>0</v>
      </c>
      <c r="J39" s="85">
        <f t="shared" si="6"/>
        <v>0</v>
      </c>
      <c r="K39" s="85">
        <f t="shared" si="6"/>
        <v>0</v>
      </c>
      <c r="L39" s="85">
        <f t="shared" si="6"/>
        <v>0</v>
      </c>
      <c r="M39" s="85">
        <f t="shared" si="6"/>
        <v>0</v>
      </c>
      <c r="N39" s="85">
        <f>SUM(tblEmplPlan141516[YEAR])</f>
        <v>0</v>
      </c>
    </row>
    <row r="40" spans="1:14" s="49" customFormat="1" ht="21" customHeight="1" x14ac:dyDescent="0.35">
      <c r="A40" s="86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</row>
    <row r="41" spans="1:14" ht="21" customHeight="1" x14ac:dyDescent="0.3">
      <c r="A41" s="75" t="s">
        <v>73</v>
      </c>
      <c r="B41" s="76"/>
      <c r="C41" s="76"/>
      <c r="D41" s="77"/>
      <c r="E41" s="76"/>
      <c r="F41" s="76"/>
      <c r="G41" s="76"/>
      <c r="H41" s="76"/>
      <c r="I41" s="76"/>
      <c r="J41" s="76"/>
      <c r="K41" s="76"/>
      <c r="L41" s="76"/>
      <c r="M41" s="76"/>
      <c r="N41" s="76"/>
    </row>
    <row r="42" spans="1:14" ht="21" customHeight="1" x14ac:dyDescent="0.35">
      <c r="A42" s="78" t="s">
        <v>74</v>
      </c>
      <c r="B42" s="79">
        <f>B9-B26-B27</f>
        <v>0</v>
      </c>
      <c r="C42" s="79">
        <f t="shared" ref="C42:M42" si="7">C9-C26-C27</f>
        <v>0</v>
      </c>
      <c r="D42" s="79">
        <f t="shared" si="7"/>
        <v>0</v>
      </c>
      <c r="E42" s="79">
        <f t="shared" si="7"/>
        <v>0</v>
      </c>
      <c r="F42" s="79">
        <f t="shared" si="7"/>
        <v>0</v>
      </c>
      <c r="G42" s="79">
        <f t="shared" si="7"/>
        <v>0</v>
      </c>
      <c r="H42" s="79">
        <f t="shared" si="7"/>
        <v>0</v>
      </c>
      <c r="I42" s="79">
        <f t="shared" si="7"/>
        <v>0</v>
      </c>
      <c r="J42" s="79">
        <f t="shared" si="7"/>
        <v>0</v>
      </c>
      <c r="K42" s="79">
        <f t="shared" si="7"/>
        <v>0</v>
      </c>
      <c r="L42" s="79">
        <f t="shared" si="7"/>
        <v>0</v>
      </c>
      <c r="M42" s="79">
        <f t="shared" si="7"/>
        <v>0</v>
      </c>
      <c r="N42" s="80">
        <f>B42+C42+D42+E42+F42+G42+H42+I42+J42+K42+L42+M42</f>
        <v>0</v>
      </c>
    </row>
    <row r="43" spans="1:14" ht="21" customHeight="1" x14ac:dyDescent="0.35">
      <c r="A43" s="78" t="s">
        <v>75</v>
      </c>
      <c r="B43" s="79">
        <f>B20-B28-B29-B30-B31-B33-B35-B36-B37-B38</f>
        <v>0</v>
      </c>
      <c r="C43" s="79">
        <f t="shared" ref="C43:M43" si="8">C20-C28-C29-C30-C31-C33-C35-C36-C37-C38</f>
        <v>0</v>
      </c>
      <c r="D43" s="79">
        <f t="shared" si="8"/>
        <v>0</v>
      </c>
      <c r="E43" s="79">
        <f t="shared" si="8"/>
        <v>0</v>
      </c>
      <c r="F43" s="79">
        <f t="shared" si="8"/>
        <v>0</v>
      </c>
      <c r="G43" s="79">
        <f t="shared" si="8"/>
        <v>0</v>
      </c>
      <c r="H43" s="79">
        <f t="shared" si="8"/>
        <v>0</v>
      </c>
      <c r="I43" s="79">
        <f t="shared" si="8"/>
        <v>0</v>
      </c>
      <c r="J43" s="79">
        <f t="shared" si="8"/>
        <v>0</v>
      </c>
      <c r="K43" s="79">
        <f t="shared" si="8"/>
        <v>0</v>
      </c>
      <c r="L43" s="79">
        <f t="shared" si="8"/>
        <v>0</v>
      </c>
      <c r="M43" s="79">
        <f t="shared" si="8"/>
        <v>0</v>
      </c>
      <c r="N43" s="80">
        <f t="shared" ref="N43" si="9">B43+C43+D43+E43+F43+G43+H43+I43+J43+K43+L43+M43</f>
        <v>0</v>
      </c>
    </row>
    <row r="44" spans="1:14" ht="21" customHeight="1" x14ac:dyDescent="0.35">
      <c r="A44" s="78" t="s">
        <v>73</v>
      </c>
      <c r="B44" s="79">
        <f>B42+B43</f>
        <v>0</v>
      </c>
      <c r="C44" s="79">
        <f t="shared" ref="C44:M44" si="10">C42+C43</f>
        <v>0</v>
      </c>
      <c r="D44" s="79">
        <f t="shared" si="10"/>
        <v>0</v>
      </c>
      <c r="E44" s="79">
        <f t="shared" si="10"/>
        <v>0</v>
      </c>
      <c r="F44" s="79">
        <f t="shared" si="10"/>
        <v>0</v>
      </c>
      <c r="G44" s="79">
        <f t="shared" si="10"/>
        <v>0</v>
      </c>
      <c r="H44" s="79">
        <f t="shared" si="10"/>
        <v>0</v>
      </c>
      <c r="I44" s="79">
        <f t="shared" si="10"/>
        <v>0</v>
      </c>
      <c r="J44" s="79">
        <f t="shared" si="10"/>
        <v>0</v>
      </c>
      <c r="K44" s="79">
        <f t="shared" si="10"/>
        <v>0</v>
      </c>
      <c r="L44" s="79">
        <f t="shared" si="10"/>
        <v>0</v>
      </c>
      <c r="M44" s="79">
        <f t="shared" si="10"/>
        <v>0</v>
      </c>
      <c r="N44" s="80">
        <f>SUM(N42:N43)</f>
        <v>0</v>
      </c>
    </row>
    <row r="45" spans="1:14" s="49" customFormat="1" ht="15" customHeight="1" x14ac:dyDescent="0.3">
      <c r="A45" s="88"/>
      <c r="B45" s="89"/>
      <c r="C45" s="89"/>
      <c r="D45" s="90"/>
      <c r="E45" s="89"/>
      <c r="F45" s="89"/>
      <c r="G45" s="89"/>
      <c r="H45" s="89"/>
      <c r="I45" s="89"/>
      <c r="J45" s="89"/>
      <c r="K45" s="89"/>
      <c r="L45" s="89"/>
      <c r="M45" s="89"/>
      <c r="N45" s="89"/>
    </row>
    <row r="46" spans="1:14" ht="21" customHeight="1" x14ac:dyDescent="0.3">
      <c r="A46" s="75" t="s">
        <v>0</v>
      </c>
      <c r="B46" s="91" t="s">
        <v>1</v>
      </c>
      <c r="C46" s="91" t="s">
        <v>2</v>
      </c>
      <c r="D46" s="91" t="s">
        <v>3</v>
      </c>
      <c r="E46" s="91" t="s">
        <v>4</v>
      </c>
      <c r="F46" s="91" t="s">
        <v>5</v>
      </c>
      <c r="G46" s="91" t="s">
        <v>6</v>
      </c>
      <c r="H46" s="91" t="s">
        <v>7</v>
      </c>
      <c r="I46" s="91" t="s">
        <v>8</v>
      </c>
      <c r="J46" s="91" t="s">
        <v>9</v>
      </c>
      <c r="K46" s="91" t="s">
        <v>10</v>
      </c>
      <c r="L46" s="91" t="s">
        <v>11</v>
      </c>
      <c r="M46" s="91" t="s">
        <v>12</v>
      </c>
      <c r="N46" s="91" t="s">
        <v>13</v>
      </c>
    </row>
    <row r="47" spans="1:14" s="8" customFormat="1" ht="21" customHeight="1" x14ac:dyDescent="0.3">
      <c r="A47" s="62" t="s">
        <v>130</v>
      </c>
      <c r="B47" s="63" t="s">
        <v>1</v>
      </c>
      <c r="C47" s="63" t="s">
        <v>2</v>
      </c>
      <c r="D47" s="63" t="s">
        <v>3</v>
      </c>
      <c r="E47" s="63" t="s">
        <v>4</v>
      </c>
      <c r="F47" s="63" t="s">
        <v>5</v>
      </c>
      <c r="G47" s="63" t="s">
        <v>6</v>
      </c>
      <c r="H47" s="63" t="s">
        <v>7</v>
      </c>
      <c r="I47" s="63" t="s">
        <v>8</v>
      </c>
      <c r="J47" s="63" t="s">
        <v>9</v>
      </c>
      <c r="K47" s="63" t="s">
        <v>10</v>
      </c>
      <c r="L47" s="63" t="s">
        <v>11</v>
      </c>
      <c r="M47" s="63" t="s">
        <v>12</v>
      </c>
      <c r="N47" s="63" t="s">
        <v>13</v>
      </c>
    </row>
    <row r="48" spans="1:14" ht="21" customHeight="1" x14ac:dyDescent="0.35">
      <c r="A48" s="64" t="s">
        <v>82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>
        <f t="shared" ref="N48:N50" si="11">SUM(B48:M48)</f>
        <v>0</v>
      </c>
    </row>
    <row r="49" spans="1:14" ht="21" customHeight="1" x14ac:dyDescent="0.35">
      <c r="A49" s="66" t="s">
        <v>95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>
        <f>SUM(B49:M49)</f>
        <v>0</v>
      </c>
    </row>
    <row r="50" spans="1:14" ht="21" customHeight="1" x14ac:dyDescent="0.35">
      <c r="A50" s="64" t="s">
        <v>15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>
        <f t="shared" si="11"/>
        <v>0</v>
      </c>
    </row>
    <row r="51" spans="1:14" ht="21" customHeight="1" x14ac:dyDescent="0.35">
      <c r="A51" s="64" t="s">
        <v>16</v>
      </c>
      <c r="B51" s="85">
        <f>SUM(tblEmplPlan[Jan])</f>
        <v>0</v>
      </c>
      <c r="C51" s="85">
        <f>SUM(tblEmplPlan[Feb])</f>
        <v>0</v>
      </c>
      <c r="D51" s="85">
        <f>SUM(tblEmplPlan[Mar])</f>
        <v>0</v>
      </c>
      <c r="E51" s="85">
        <f>SUM(tblEmplPlan[Apr])</f>
        <v>0</v>
      </c>
      <c r="F51" s="85">
        <f>SUM(tblEmplPlan[May])</f>
        <v>0</v>
      </c>
      <c r="G51" s="85">
        <f>SUM(tblEmplPlan[Jun])</f>
        <v>0</v>
      </c>
      <c r="H51" s="85">
        <f>SUM(tblEmplPlan[Jul])</f>
        <v>0</v>
      </c>
      <c r="I51" s="85">
        <f>SUM(tblEmplPlan[Aug])</f>
        <v>0</v>
      </c>
      <c r="J51" s="85">
        <f>SUM(tblEmplPlan[Sep])</f>
        <v>0</v>
      </c>
      <c r="K51" s="85">
        <f>SUM(tblEmplPlan[Oct])</f>
        <v>0</v>
      </c>
      <c r="L51" s="85">
        <f>SUM(tblEmplPlan[Nov])</f>
        <v>0</v>
      </c>
      <c r="M51" s="85">
        <f>SUM(tblEmplPlan[Dec])</f>
        <v>0</v>
      </c>
      <c r="N51" s="85">
        <f>SUM(tblEmplPlan[YEAR])</f>
        <v>0</v>
      </c>
    </row>
    <row r="52" spans="1:14" ht="21" customHeight="1" x14ac:dyDescent="0.3">
      <c r="A52" s="202"/>
      <c r="B52" s="20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3"/>
    </row>
    <row r="53" spans="1:14" ht="21" customHeight="1" x14ac:dyDescent="0.3">
      <c r="A53" s="62" t="s">
        <v>17</v>
      </c>
      <c r="B53" s="94" t="s">
        <v>1</v>
      </c>
      <c r="C53" s="94" t="s">
        <v>2</v>
      </c>
      <c r="D53" s="94" t="s">
        <v>3</v>
      </c>
      <c r="E53" s="94" t="s">
        <v>4</v>
      </c>
      <c r="F53" s="94" t="s">
        <v>5</v>
      </c>
      <c r="G53" s="94" t="s">
        <v>6</v>
      </c>
      <c r="H53" s="94" t="s">
        <v>7</v>
      </c>
      <c r="I53" s="94" t="s">
        <v>8</v>
      </c>
      <c r="J53" s="94" t="s">
        <v>9</v>
      </c>
      <c r="K53" s="94" t="s">
        <v>10</v>
      </c>
      <c r="L53" s="94" t="s">
        <v>11</v>
      </c>
      <c r="M53" s="94" t="s">
        <v>12</v>
      </c>
      <c r="N53" s="94" t="s">
        <v>13</v>
      </c>
    </row>
    <row r="54" spans="1:14" ht="21" customHeight="1" x14ac:dyDescent="0.35">
      <c r="A54" s="64" t="s">
        <v>28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>
        <f t="shared" ref="N54:N72" si="12">SUM(B54:M54)</f>
        <v>0</v>
      </c>
    </row>
    <row r="55" spans="1:14" ht="21" customHeight="1" x14ac:dyDescent="0.35">
      <c r="A55" s="64" t="s">
        <v>29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>
        <f t="shared" si="12"/>
        <v>0</v>
      </c>
    </row>
    <row r="56" spans="1:14" ht="21" customHeight="1" x14ac:dyDescent="0.35">
      <c r="A56" s="64" t="s">
        <v>148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>
        <f t="shared" si="12"/>
        <v>0</v>
      </c>
    </row>
    <row r="57" spans="1:14" ht="21" customHeight="1" x14ac:dyDescent="0.35">
      <c r="A57" s="64" t="s">
        <v>44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>
        <f t="shared" si="12"/>
        <v>0</v>
      </c>
    </row>
    <row r="58" spans="1:14" ht="21" customHeight="1" x14ac:dyDescent="0.35">
      <c r="A58" s="64" t="s">
        <v>31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>
        <f t="shared" si="12"/>
        <v>0</v>
      </c>
    </row>
    <row r="59" spans="1:14" ht="21" customHeight="1" x14ac:dyDescent="0.35">
      <c r="A59" s="64" t="s">
        <v>121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>
        <f>SUM(B59:M59)</f>
        <v>0</v>
      </c>
    </row>
    <row r="60" spans="1:14" ht="21" customHeight="1" x14ac:dyDescent="0.35">
      <c r="A60" s="64" t="s">
        <v>93</v>
      </c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>
        <f>SUM(B60:M60)</f>
        <v>0</v>
      </c>
    </row>
    <row r="61" spans="1:14" ht="21" customHeight="1" x14ac:dyDescent="0.35">
      <c r="A61" s="64" t="s">
        <v>45</v>
      </c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>
        <f>SUM(B61:M61)</f>
        <v>0</v>
      </c>
    </row>
    <row r="62" spans="1:14" ht="21" customHeight="1" x14ac:dyDescent="0.35">
      <c r="A62" s="64" t="s">
        <v>32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>
        <f t="shared" si="12"/>
        <v>0</v>
      </c>
    </row>
    <row r="63" spans="1:14" ht="21" customHeight="1" x14ac:dyDescent="0.35">
      <c r="A63" s="64" t="s">
        <v>27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>
        <f t="shared" si="12"/>
        <v>0</v>
      </c>
    </row>
    <row r="64" spans="1:14" ht="21" customHeight="1" x14ac:dyDescent="0.35">
      <c r="A64" s="64" t="s">
        <v>33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>
        <f t="shared" ref="N64:N69" si="13">SUM(B64:M64)</f>
        <v>0</v>
      </c>
    </row>
    <row r="65" spans="1:14" ht="21" customHeight="1" x14ac:dyDescent="0.35">
      <c r="A65" s="64" t="s">
        <v>34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>
        <f t="shared" si="13"/>
        <v>0</v>
      </c>
    </row>
    <row r="66" spans="1:14" ht="21" customHeight="1" x14ac:dyDescent="0.35">
      <c r="A66" s="64" t="s">
        <v>46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>
        <f t="shared" si="13"/>
        <v>0</v>
      </c>
    </row>
    <row r="67" spans="1:14" ht="21" customHeight="1" x14ac:dyDescent="0.35">
      <c r="A67" s="64" t="s">
        <v>35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>
        <f t="shared" si="13"/>
        <v>0</v>
      </c>
    </row>
    <row r="68" spans="1:14" ht="21" customHeight="1" x14ac:dyDescent="0.35">
      <c r="A68" s="64" t="s">
        <v>36</v>
      </c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>
        <f t="shared" si="13"/>
        <v>0</v>
      </c>
    </row>
    <row r="69" spans="1:14" ht="21" customHeight="1" x14ac:dyDescent="0.35">
      <c r="A69" s="64" t="s">
        <v>37</v>
      </c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>
        <f t="shared" si="13"/>
        <v>0</v>
      </c>
    </row>
    <row r="70" spans="1:14" ht="21" customHeight="1" x14ac:dyDescent="0.35">
      <c r="A70" s="64" t="s">
        <v>51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>
        <f>SUM(B70:M70)</f>
        <v>0</v>
      </c>
    </row>
    <row r="71" spans="1:14" ht="21" customHeight="1" x14ac:dyDescent="0.35">
      <c r="A71" s="64" t="s">
        <v>52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>
        <f>SUM(B71:M71)</f>
        <v>0</v>
      </c>
    </row>
    <row r="72" spans="1:14" ht="21" customHeight="1" x14ac:dyDescent="0.35">
      <c r="A72" s="64" t="s">
        <v>113</v>
      </c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>
        <f t="shared" si="12"/>
        <v>0</v>
      </c>
    </row>
    <row r="73" spans="1:14" ht="21" customHeight="1" x14ac:dyDescent="0.35">
      <c r="A73" s="64" t="s">
        <v>16</v>
      </c>
      <c r="B73" s="65">
        <f>SUBTOTAL(109,tblOffPlan[Jan])</f>
        <v>0</v>
      </c>
      <c r="C73" s="65">
        <f>SUBTOTAL(109,tblOffPlan[Feb])</f>
        <v>0</v>
      </c>
      <c r="D73" s="65">
        <f>SUBTOTAL(109,tblOffPlan[Mar])</f>
        <v>0</v>
      </c>
      <c r="E73" s="65">
        <f>SUBTOTAL(109,tblOffPlan[Apr])</f>
        <v>0</v>
      </c>
      <c r="F73" s="65">
        <f>SUBTOTAL(109,tblOffPlan[May])</f>
        <v>0</v>
      </c>
      <c r="G73" s="65">
        <f>SUBTOTAL(109,tblOffPlan[Jun])</f>
        <v>0</v>
      </c>
      <c r="H73" s="65">
        <f>SUBTOTAL(109,tblOffPlan[Jul])</f>
        <v>0</v>
      </c>
      <c r="I73" s="65">
        <f>SUBTOTAL(109,tblOffPlan[Aug])</f>
        <v>0</v>
      </c>
      <c r="J73" s="65">
        <f>SUBTOTAL(109,tblOffPlan[Sep])</f>
        <v>0</v>
      </c>
      <c r="K73" s="65">
        <f>SUBTOTAL(109,tblOffPlan[Oct])</f>
        <v>0</v>
      </c>
      <c r="L73" s="65">
        <f>SUBTOTAL(109,tblOffPlan[Nov])</f>
        <v>0</v>
      </c>
      <c r="M73" s="65">
        <f>SUBTOTAL(109,tblOffPlan[Dec])</f>
        <v>0</v>
      </c>
      <c r="N73" s="65">
        <f>SUBTOTAL(109,tblOffPlan[YEAR])</f>
        <v>0</v>
      </c>
    </row>
    <row r="74" spans="1:14" ht="21" customHeight="1" x14ac:dyDescent="0.3">
      <c r="A74" s="203"/>
      <c r="B74" s="203"/>
      <c r="C74" s="92"/>
      <c r="D74" s="92"/>
      <c r="E74" s="95"/>
      <c r="F74" s="95"/>
      <c r="G74" s="95"/>
      <c r="H74" s="95"/>
      <c r="I74" s="95"/>
      <c r="J74" s="95"/>
      <c r="K74" s="95"/>
      <c r="L74" s="95"/>
      <c r="M74" s="95"/>
      <c r="N74" s="93"/>
    </row>
    <row r="75" spans="1:14" ht="21" customHeight="1" x14ac:dyDescent="0.3">
      <c r="A75" s="62" t="s">
        <v>38</v>
      </c>
      <c r="B75" s="94" t="s">
        <v>1</v>
      </c>
      <c r="C75" s="94" t="s">
        <v>2</v>
      </c>
      <c r="D75" s="94" t="s">
        <v>3</v>
      </c>
      <c r="E75" s="94" t="s">
        <v>4</v>
      </c>
      <c r="F75" s="94" t="s">
        <v>5</v>
      </c>
      <c r="G75" s="94" t="s">
        <v>6</v>
      </c>
      <c r="H75" s="94" t="s">
        <v>7</v>
      </c>
      <c r="I75" s="94" t="s">
        <v>8</v>
      </c>
      <c r="J75" s="94" t="s">
        <v>9</v>
      </c>
      <c r="K75" s="94" t="s">
        <v>10</v>
      </c>
      <c r="L75" s="94" t="s">
        <v>11</v>
      </c>
      <c r="M75" s="94" t="s">
        <v>12</v>
      </c>
      <c r="N75" s="94" t="s">
        <v>13</v>
      </c>
    </row>
    <row r="76" spans="1:14" ht="21" hidden="1" customHeight="1" x14ac:dyDescent="0.35">
      <c r="A76" s="96" t="s">
        <v>94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97">
        <f>SUM(B76:M76)</f>
        <v>0</v>
      </c>
    </row>
    <row r="77" spans="1:14" ht="21" customHeight="1" x14ac:dyDescent="0.35">
      <c r="A77" s="96" t="s">
        <v>105</v>
      </c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97">
        <f>SUM(B77:M77)</f>
        <v>0</v>
      </c>
    </row>
    <row r="78" spans="1:14" ht="21" customHeight="1" x14ac:dyDescent="0.35">
      <c r="A78" s="64" t="s">
        <v>39</v>
      </c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97">
        <f t="shared" ref="N78:N85" si="14">SUM(B78:M78)</f>
        <v>0</v>
      </c>
    </row>
    <row r="79" spans="1:14" ht="21" customHeight="1" x14ac:dyDescent="0.35">
      <c r="A79" s="64" t="s">
        <v>40</v>
      </c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97">
        <f t="shared" si="14"/>
        <v>0</v>
      </c>
    </row>
    <row r="80" spans="1:14" ht="21" customHeight="1" x14ac:dyDescent="0.35">
      <c r="A80" s="64" t="s">
        <v>48</v>
      </c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97">
        <f t="shared" si="14"/>
        <v>0</v>
      </c>
    </row>
    <row r="81" spans="1:14" ht="21" customHeight="1" x14ac:dyDescent="0.35">
      <c r="A81" s="64" t="s">
        <v>111</v>
      </c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97">
        <f t="shared" si="14"/>
        <v>0</v>
      </c>
    </row>
    <row r="82" spans="1:14" ht="9" customHeight="1" x14ac:dyDescent="0.35">
      <c r="A82" s="64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97">
        <f t="shared" si="14"/>
        <v>0</v>
      </c>
    </row>
    <row r="83" spans="1:14" ht="21" customHeight="1" x14ac:dyDescent="0.35">
      <c r="A83" s="66" t="s">
        <v>83</v>
      </c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97">
        <f t="shared" si="14"/>
        <v>0</v>
      </c>
    </row>
    <row r="84" spans="1:14" ht="21" customHeight="1" x14ac:dyDescent="0.35">
      <c r="A84" s="161" t="s">
        <v>127</v>
      </c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97">
        <f t="shared" si="14"/>
        <v>0</v>
      </c>
    </row>
    <row r="85" spans="1:14" ht="21" customHeight="1" x14ac:dyDescent="0.35">
      <c r="A85" s="66" t="s">
        <v>84</v>
      </c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97">
        <f t="shared" si="14"/>
        <v>0</v>
      </c>
    </row>
    <row r="86" spans="1:14" ht="21" customHeight="1" x14ac:dyDescent="0.35">
      <c r="A86" s="64" t="s">
        <v>16</v>
      </c>
      <c r="B86" s="65">
        <f>SUM(B77:B85)</f>
        <v>0</v>
      </c>
      <c r="C86" s="65">
        <f t="shared" ref="C86:M86" si="15">SUM(C77:C85)</f>
        <v>0</v>
      </c>
      <c r="D86" s="65">
        <f t="shared" si="15"/>
        <v>0</v>
      </c>
      <c r="E86" s="65">
        <f t="shared" si="15"/>
        <v>0</v>
      </c>
      <c r="F86" s="65">
        <f t="shared" si="15"/>
        <v>0</v>
      </c>
      <c r="G86" s="65">
        <f t="shared" si="15"/>
        <v>0</v>
      </c>
      <c r="H86" s="65">
        <f t="shared" si="15"/>
        <v>0</v>
      </c>
      <c r="I86" s="65">
        <f t="shared" si="15"/>
        <v>0</v>
      </c>
      <c r="J86" s="65">
        <f t="shared" si="15"/>
        <v>0</v>
      </c>
      <c r="K86" s="65">
        <f t="shared" si="15"/>
        <v>0</v>
      </c>
      <c r="L86" s="65">
        <f t="shared" si="15"/>
        <v>0</v>
      </c>
      <c r="M86" s="65">
        <f t="shared" si="15"/>
        <v>0</v>
      </c>
      <c r="N86" s="65">
        <f>SUM(N77:N85)</f>
        <v>0</v>
      </c>
    </row>
    <row r="87" spans="1:14" ht="21" customHeight="1" x14ac:dyDescent="0.3">
      <c r="A87" s="202"/>
      <c r="B87" s="202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3"/>
    </row>
    <row r="88" spans="1:14" ht="21" customHeight="1" x14ac:dyDescent="0.3">
      <c r="A88" s="99" t="s">
        <v>43</v>
      </c>
      <c r="B88" s="100" t="s">
        <v>1</v>
      </c>
      <c r="C88" s="100" t="s">
        <v>2</v>
      </c>
      <c r="D88" s="100" t="s">
        <v>3</v>
      </c>
      <c r="E88" s="100" t="s">
        <v>4</v>
      </c>
      <c r="F88" s="100" t="s">
        <v>5</v>
      </c>
      <c r="G88" s="100" t="s">
        <v>6</v>
      </c>
      <c r="H88" s="100" t="s">
        <v>7</v>
      </c>
      <c r="I88" s="100" t="s">
        <v>8</v>
      </c>
      <c r="J88" s="100" t="s">
        <v>9</v>
      </c>
      <c r="K88" s="100" t="s">
        <v>10</v>
      </c>
      <c r="L88" s="100" t="s">
        <v>11</v>
      </c>
      <c r="M88" s="100" t="s">
        <v>12</v>
      </c>
      <c r="N88" s="101" t="s">
        <v>13</v>
      </c>
    </row>
    <row r="89" spans="1:14" ht="21" customHeight="1" x14ac:dyDescent="0.35">
      <c r="A89" s="68" t="s">
        <v>25</v>
      </c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70">
        <f>SUM(B89:M89)</f>
        <v>0</v>
      </c>
    </row>
    <row r="90" spans="1:14" ht="21" customHeight="1" x14ac:dyDescent="0.35">
      <c r="A90" s="102" t="s">
        <v>26</v>
      </c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4">
        <f>SUM(B90:M90)</f>
        <v>0</v>
      </c>
    </row>
    <row r="91" spans="1:14" ht="21" customHeight="1" x14ac:dyDescent="0.35">
      <c r="A91" s="64" t="s">
        <v>16</v>
      </c>
      <c r="B91" s="103">
        <f>SUBTOTAL(109,tblTrainPlan[Jan])</f>
        <v>0</v>
      </c>
      <c r="C91" s="103">
        <f>SUBTOTAL(109,tblTrainPlan[Feb])</f>
        <v>0</v>
      </c>
      <c r="D91" s="103">
        <f>SUBTOTAL(109,tblTrainPlan[Mar])</f>
        <v>0</v>
      </c>
      <c r="E91" s="103">
        <f>SUBTOTAL(109,tblTrainPlan[Apr])</f>
        <v>0</v>
      </c>
      <c r="F91" s="103">
        <f>SUBTOTAL(109,tblTrainPlan[May])</f>
        <v>0</v>
      </c>
      <c r="G91" s="103">
        <f>SUBTOTAL(109,tblTrainPlan[Jun])</f>
        <v>0</v>
      </c>
      <c r="H91" s="103">
        <f>SUBTOTAL(109,tblTrainPlan[Jul])</f>
        <v>0</v>
      </c>
      <c r="I91" s="103">
        <f>SUBTOTAL(109,tblTrainPlan[Aug])</f>
        <v>0</v>
      </c>
      <c r="J91" s="103">
        <f>SUBTOTAL(109,tblTrainPlan[Sep])</f>
        <v>0</v>
      </c>
      <c r="K91" s="103">
        <f>SUBTOTAL(109,tblTrainPlan[Oct])</f>
        <v>0</v>
      </c>
      <c r="L91" s="103">
        <f>SUBTOTAL(109,tblTrainPlan[Nov])</f>
        <v>0</v>
      </c>
      <c r="M91" s="103">
        <f>SUBTOTAL(109,tblTrainPlan[Dec])</f>
        <v>0</v>
      </c>
      <c r="N91" s="103">
        <f>SUBTOTAL(109,tblTrainPlan[YEAR])</f>
        <v>0</v>
      </c>
    </row>
    <row r="92" spans="1:14" ht="21" customHeight="1" x14ac:dyDescent="0.3">
      <c r="A92" s="202"/>
      <c r="B92" s="202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</row>
    <row r="93" spans="1:14" ht="21" customHeight="1" x14ac:dyDescent="0.3">
      <c r="A93" s="75" t="s">
        <v>76</v>
      </c>
      <c r="B93" s="76"/>
      <c r="C93" s="76"/>
      <c r="D93" s="77"/>
      <c r="E93" s="76"/>
      <c r="F93" s="76"/>
      <c r="G93" s="76"/>
      <c r="H93" s="76"/>
      <c r="I93" s="76"/>
      <c r="J93" s="76"/>
      <c r="K93" s="76"/>
      <c r="L93" s="76"/>
      <c r="M93" s="76"/>
      <c r="N93" s="76"/>
    </row>
    <row r="94" spans="1:14" ht="21" customHeight="1" x14ac:dyDescent="0.35">
      <c r="A94" s="78" t="s">
        <v>19</v>
      </c>
      <c r="B94" s="79">
        <v>0</v>
      </c>
      <c r="C94" s="79">
        <f t="shared" ref="C94:M94" si="16">SUM(C51+C73+C86+C91)</f>
        <v>0</v>
      </c>
      <c r="D94" s="79">
        <f t="shared" si="16"/>
        <v>0</v>
      </c>
      <c r="E94" s="79">
        <f t="shared" si="16"/>
        <v>0</v>
      </c>
      <c r="F94" s="79">
        <f t="shared" si="16"/>
        <v>0</v>
      </c>
      <c r="G94" s="79">
        <f t="shared" si="16"/>
        <v>0</v>
      </c>
      <c r="H94" s="79">
        <f t="shared" si="16"/>
        <v>0</v>
      </c>
      <c r="I94" s="79">
        <f t="shared" si="16"/>
        <v>0</v>
      </c>
      <c r="J94" s="79">
        <f t="shared" si="16"/>
        <v>0</v>
      </c>
      <c r="K94" s="79">
        <f t="shared" si="16"/>
        <v>0</v>
      </c>
      <c r="L94" s="79">
        <f t="shared" si="16"/>
        <v>0</v>
      </c>
      <c r="M94" s="79">
        <f t="shared" si="16"/>
        <v>0</v>
      </c>
      <c r="N94" s="79">
        <f>tblTrainPlan[[#Totals],[YEAR]]+tblMarkPlan[[#Totals],[YEAR]]+tblOffPlan[[#Totals],[YEAR]]+tblEmplPlan[[#Totals],[YEAR]]</f>
        <v>0</v>
      </c>
    </row>
    <row r="95" spans="1:14" ht="21" customHeight="1" x14ac:dyDescent="0.35">
      <c r="A95" s="78" t="s">
        <v>20</v>
      </c>
      <c r="B95" s="79">
        <f>B94</f>
        <v>0</v>
      </c>
      <c r="C95" s="79">
        <f>SUM($B$94:C94)</f>
        <v>0</v>
      </c>
      <c r="D95" s="79">
        <f>SUM($B$94:D94)</f>
        <v>0</v>
      </c>
      <c r="E95" s="79">
        <f>SUM($B$94:E94)</f>
        <v>0</v>
      </c>
      <c r="F95" s="79">
        <f>SUM($B$94:F94)</f>
        <v>0</v>
      </c>
      <c r="G95" s="79">
        <f>SUM($B$94:G94)</f>
        <v>0</v>
      </c>
      <c r="H95" s="79">
        <f>SUM($B$94:H94)</f>
        <v>0</v>
      </c>
      <c r="I95" s="79">
        <f>SUM($B$94:I94)</f>
        <v>0</v>
      </c>
      <c r="J95" s="79">
        <f>SUM($B$94:J94)</f>
        <v>0</v>
      </c>
      <c r="K95" s="79">
        <f>SUM($B$94:K94)</f>
        <v>0</v>
      </c>
      <c r="L95" s="79">
        <f>SUM($B$94:L94)</f>
        <v>0</v>
      </c>
      <c r="M95" s="79">
        <f>SUM($B$94:M94)</f>
        <v>0</v>
      </c>
      <c r="N95" s="80"/>
    </row>
    <row r="96" spans="1:14" s="49" customFormat="1" ht="21" customHeight="1" x14ac:dyDescent="0.3">
      <c r="A96" s="105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</row>
    <row r="97" spans="1:14" ht="21" customHeight="1" x14ac:dyDescent="0.3">
      <c r="A97" s="129" t="s">
        <v>18</v>
      </c>
      <c r="B97" s="131"/>
      <c r="C97" s="131"/>
      <c r="D97" s="132"/>
      <c r="E97" s="131"/>
      <c r="F97" s="131"/>
      <c r="G97" s="131"/>
      <c r="H97" s="131"/>
      <c r="I97" s="131"/>
      <c r="J97" s="131"/>
      <c r="K97" s="131"/>
      <c r="L97" s="131"/>
      <c r="M97" s="131"/>
      <c r="N97" s="131"/>
    </row>
    <row r="98" spans="1:14" ht="21" customHeight="1" x14ac:dyDescent="0.35">
      <c r="A98" s="130" t="s">
        <v>103</v>
      </c>
      <c r="B98" s="79">
        <f t="shared" ref="B98:M98" si="17">B44-B94</f>
        <v>0</v>
      </c>
      <c r="C98" s="79">
        <f t="shared" si="17"/>
        <v>0</v>
      </c>
      <c r="D98" s="79">
        <f t="shared" si="17"/>
        <v>0</v>
      </c>
      <c r="E98" s="79">
        <f t="shared" si="17"/>
        <v>0</v>
      </c>
      <c r="F98" s="79">
        <f t="shared" si="17"/>
        <v>0</v>
      </c>
      <c r="G98" s="79">
        <f t="shared" si="17"/>
        <v>0</v>
      </c>
      <c r="H98" s="79">
        <f t="shared" si="17"/>
        <v>0</v>
      </c>
      <c r="I98" s="79">
        <f t="shared" si="17"/>
        <v>0</v>
      </c>
      <c r="J98" s="79">
        <f t="shared" si="17"/>
        <v>0</v>
      </c>
      <c r="K98" s="79">
        <f t="shared" si="17"/>
        <v>0</v>
      </c>
      <c r="L98" s="79">
        <f t="shared" si="17"/>
        <v>0</v>
      </c>
      <c r="M98" s="79">
        <f t="shared" si="17"/>
        <v>0</v>
      </c>
      <c r="N98" s="79">
        <f>SUM(B98:M98)</f>
        <v>0</v>
      </c>
    </row>
    <row r="99" spans="1:14" ht="21" customHeight="1" x14ac:dyDescent="0.35">
      <c r="A99" s="130" t="s">
        <v>63</v>
      </c>
      <c r="B99" s="183"/>
      <c r="C99" s="183"/>
      <c r="D99" s="183"/>
      <c r="E99" s="183"/>
      <c r="F99" s="183"/>
      <c r="G99" s="183"/>
      <c r="H99" s="183"/>
      <c r="I99" s="183"/>
      <c r="J99" s="183"/>
      <c r="K99" s="183"/>
      <c r="L99" s="183"/>
      <c r="M99" s="183"/>
      <c r="N99" s="145">
        <f>SUM(B99:M99)</f>
        <v>0</v>
      </c>
    </row>
    <row r="100" spans="1:14" ht="21" customHeight="1" x14ac:dyDescent="0.35">
      <c r="A100" s="130" t="s">
        <v>104</v>
      </c>
      <c r="B100" s="79">
        <f t="shared" ref="B100:M100" si="18">B98-B99</f>
        <v>0</v>
      </c>
      <c r="C100" s="79">
        <f t="shared" si="18"/>
        <v>0</v>
      </c>
      <c r="D100" s="79">
        <f t="shared" si="18"/>
        <v>0</v>
      </c>
      <c r="E100" s="79">
        <f t="shared" si="18"/>
        <v>0</v>
      </c>
      <c r="F100" s="79">
        <f t="shared" si="18"/>
        <v>0</v>
      </c>
      <c r="G100" s="79">
        <f t="shared" si="18"/>
        <v>0</v>
      </c>
      <c r="H100" s="79">
        <f t="shared" si="18"/>
        <v>0</v>
      </c>
      <c r="I100" s="79">
        <f t="shared" si="18"/>
        <v>0</v>
      </c>
      <c r="J100" s="79">
        <f t="shared" si="18"/>
        <v>0</v>
      </c>
      <c r="K100" s="79">
        <f t="shared" si="18"/>
        <v>0</v>
      </c>
      <c r="L100" s="79">
        <f t="shared" si="18"/>
        <v>0</v>
      </c>
      <c r="M100" s="79">
        <f t="shared" si="18"/>
        <v>0</v>
      </c>
      <c r="N100" s="177">
        <f>SUM(B100:M100)</f>
        <v>0</v>
      </c>
    </row>
    <row r="101" spans="1:14" ht="21" customHeight="1" x14ac:dyDescent="0.35">
      <c r="A101" s="106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47"/>
    </row>
    <row r="102" spans="1:14" ht="21" customHeight="1" x14ac:dyDescent="0.35">
      <c r="A102" s="108" t="s">
        <v>85</v>
      </c>
      <c r="B102" s="109"/>
      <c r="C102" s="109"/>
      <c r="D102" s="110"/>
      <c r="E102" s="109"/>
      <c r="F102" s="109"/>
      <c r="G102" s="109"/>
      <c r="H102" s="109"/>
      <c r="I102" s="109"/>
      <c r="J102" s="109"/>
      <c r="K102" s="109"/>
      <c r="L102" s="109"/>
      <c r="M102" s="109"/>
      <c r="N102" s="146"/>
    </row>
    <row r="103" spans="1:14" ht="21" customHeight="1" x14ac:dyDescent="0.35">
      <c r="A103" s="78" t="s">
        <v>86</v>
      </c>
      <c r="B103" s="79">
        <f>B12+B13-B28-B35</f>
        <v>0</v>
      </c>
      <c r="C103" s="79">
        <f t="shared" ref="C103:M103" si="19">C12-C28-C35</f>
        <v>0</v>
      </c>
      <c r="D103" s="79">
        <f t="shared" si="19"/>
        <v>0</v>
      </c>
      <c r="E103" s="79">
        <f t="shared" si="19"/>
        <v>0</v>
      </c>
      <c r="F103" s="79">
        <f t="shared" si="19"/>
        <v>0</v>
      </c>
      <c r="G103" s="79">
        <f t="shared" si="19"/>
        <v>0</v>
      </c>
      <c r="H103" s="79">
        <f t="shared" si="19"/>
        <v>0</v>
      </c>
      <c r="I103" s="79">
        <f t="shared" si="19"/>
        <v>0</v>
      </c>
      <c r="J103" s="79">
        <f t="shared" si="19"/>
        <v>0</v>
      </c>
      <c r="K103" s="79">
        <f t="shared" si="19"/>
        <v>0</v>
      </c>
      <c r="L103" s="79">
        <f t="shared" si="19"/>
        <v>0</v>
      </c>
      <c r="M103" s="79">
        <f t="shared" si="19"/>
        <v>0</v>
      </c>
      <c r="N103" s="79">
        <f t="shared" ref="N103:N107" si="20">SUM(B103:M103)</f>
        <v>0</v>
      </c>
    </row>
    <row r="104" spans="1:14" ht="21" customHeight="1" x14ac:dyDescent="0.35">
      <c r="A104" s="78" t="s">
        <v>88</v>
      </c>
      <c r="B104" s="79">
        <f t="shared" ref="B104:M104" si="21">B17-B31-B36</f>
        <v>0</v>
      </c>
      <c r="C104" s="79">
        <f t="shared" si="21"/>
        <v>0</v>
      </c>
      <c r="D104" s="79">
        <f t="shared" si="21"/>
        <v>0</v>
      </c>
      <c r="E104" s="79">
        <f t="shared" si="21"/>
        <v>0</v>
      </c>
      <c r="F104" s="79">
        <f t="shared" si="21"/>
        <v>0</v>
      </c>
      <c r="G104" s="79">
        <f t="shared" si="21"/>
        <v>0</v>
      </c>
      <c r="H104" s="79">
        <f t="shared" si="21"/>
        <v>0</v>
      </c>
      <c r="I104" s="79">
        <f t="shared" si="21"/>
        <v>0</v>
      </c>
      <c r="J104" s="79">
        <f t="shared" si="21"/>
        <v>0</v>
      </c>
      <c r="K104" s="79">
        <f t="shared" si="21"/>
        <v>0</v>
      </c>
      <c r="L104" s="79">
        <f t="shared" si="21"/>
        <v>0</v>
      </c>
      <c r="M104" s="79">
        <f t="shared" si="21"/>
        <v>0</v>
      </c>
      <c r="N104" s="79">
        <f t="shared" si="20"/>
        <v>0</v>
      </c>
    </row>
    <row r="105" spans="1:14" ht="21" hidden="1" customHeight="1" x14ac:dyDescent="0.35">
      <c r="A105" s="78" t="s">
        <v>89</v>
      </c>
      <c r="B105" s="79" t="e">
        <f>B18-B32-#REF!</f>
        <v>#REF!</v>
      </c>
      <c r="C105" s="79" t="e">
        <f>C18-C32-#REF!</f>
        <v>#REF!</v>
      </c>
      <c r="D105" s="79" t="e">
        <f>D18-D32-#REF!</f>
        <v>#REF!</v>
      </c>
      <c r="E105" s="79" t="e">
        <f>E18-E32-#REF!</f>
        <v>#REF!</v>
      </c>
      <c r="F105" s="79" t="e">
        <f>F18-F32-#REF!</f>
        <v>#REF!</v>
      </c>
      <c r="G105" s="79" t="e">
        <f>G18-G32-#REF!</f>
        <v>#REF!</v>
      </c>
      <c r="H105" s="79" t="e">
        <f>H18-H32-#REF!</f>
        <v>#REF!</v>
      </c>
      <c r="I105" s="79" t="e">
        <f>I18-I32-#REF!</f>
        <v>#REF!</v>
      </c>
      <c r="J105" s="79" t="e">
        <f>J18-J32-#REF!</f>
        <v>#REF!</v>
      </c>
      <c r="K105" s="79" t="e">
        <f>K18-K32-#REF!</f>
        <v>#REF!</v>
      </c>
      <c r="L105" s="79" t="e">
        <f>L18-L32-#REF!</f>
        <v>#REF!</v>
      </c>
      <c r="M105" s="79" t="e">
        <f>M18-M32-#REF!</f>
        <v>#REF!</v>
      </c>
      <c r="N105" s="79" t="e">
        <f t="shared" si="20"/>
        <v>#REF!</v>
      </c>
    </row>
    <row r="106" spans="1:14" ht="21" customHeight="1" x14ac:dyDescent="0.35">
      <c r="A106" s="78" t="s">
        <v>87</v>
      </c>
      <c r="B106" s="79">
        <f t="shared" ref="B106:M106" si="22">B14-B29-B38</f>
        <v>0</v>
      </c>
      <c r="C106" s="79">
        <f t="shared" si="22"/>
        <v>0</v>
      </c>
      <c r="D106" s="79">
        <f t="shared" si="22"/>
        <v>0</v>
      </c>
      <c r="E106" s="79">
        <f t="shared" si="22"/>
        <v>0</v>
      </c>
      <c r="F106" s="79">
        <f t="shared" si="22"/>
        <v>0</v>
      </c>
      <c r="G106" s="79">
        <f t="shared" si="22"/>
        <v>0</v>
      </c>
      <c r="H106" s="79">
        <f t="shared" si="22"/>
        <v>0</v>
      </c>
      <c r="I106" s="79">
        <f t="shared" si="22"/>
        <v>0</v>
      </c>
      <c r="J106" s="79">
        <f t="shared" si="22"/>
        <v>0</v>
      </c>
      <c r="K106" s="79">
        <f t="shared" si="22"/>
        <v>0</v>
      </c>
      <c r="L106" s="79">
        <f t="shared" si="22"/>
        <v>0</v>
      </c>
      <c r="M106" s="79">
        <f t="shared" si="22"/>
        <v>0</v>
      </c>
      <c r="N106" s="79">
        <f t="shared" si="20"/>
        <v>0</v>
      </c>
    </row>
    <row r="107" spans="1:14" ht="21" customHeight="1" x14ac:dyDescent="0.35">
      <c r="A107" s="78" t="s">
        <v>138</v>
      </c>
      <c r="B107" s="79">
        <f>B15+B16-B30-B37</f>
        <v>0</v>
      </c>
      <c r="C107" s="79">
        <f t="shared" ref="C107:M107" si="23">C15+C16-C30-C37</f>
        <v>0</v>
      </c>
      <c r="D107" s="79">
        <f t="shared" si="23"/>
        <v>0</v>
      </c>
      <c r="E107" s="79">
        <f t="shared" si="23"/>
        <v>0</v>
      </c>
      <c r="F107" s="79">
        <f t="shared" si="23"/>
        <v>0</v>
      </c>
      <c r="G107" s="79">
        <f t="shared" si="23"/>
        <v>0</v>
      </c>
      <c r="H107" s="79">
        <f t="shared" si="23"/>
        <v>0</v>
      </c>
      <c r="I107" s="79">
        <f t="shared" si="23"/>
        <v>0</v>
      </c>
      <c r="J107" s="79">
        <f t="shared" si="23"/>
        <v>0</v>
      </c>
      <c r="K107" s="79">
        <f t="shared" si="23"/>
        <v>0</v>
      </c>
      <c r="L107" s="79">
        <f t="shared" si="23"/>
        <v>0</v>
      </c>
      <c r="M107" s="79">
        <f t="shared" si="23"/>
        <v>0</v>
      </c>
      <c r="N107" s="79">
        <f t="shared" si="20"/>
        <v>0</v>
      </c>
    </row>
    <row r="108" spans="1:14" ht="21" customHeight="1" x14ac:dyDescent="0.35">
      <c r="A108" s="78" t="s">
        <v>90</v>
      </c>
      <c r="B108" s="111">
        <f>B9-B26-B27</f>
        <v>0</v>
      </c>
      <c r="C108" s="111">
        <f t="shared" ref="C108:M108" si="24">C9-C26-C27</f>
        <v>0</v>
      </c>
      <c r="D108" s="111">
        <f t="shared" si="24"/>
        <v>0</v>
      </c>
      <c r="E108" s="111">
        <f t="shared" si="24"/>
        <v>0</v>
      </c>
      <c r="F108" s="111">
        <f t="shared" si="24"/>
        <v>0</v>
      </c>
      <c r="G108" s="111">
        <f t="shared" si="24"/>
        <v>0</v>
      </c>
      <c r="H108" s="111">
        <f t="shared" si="24"/>
        <v>0</v>
      </c>
      <c r="I108" s="111">
        <f t="shared" si="24"/>
        <v>0</v>
      </c>
      <c r="J108" s="111">
        <f t="shared" si="24"/>
        <v>0</v>
      </c>
      <c r="K108" s="111">
        <f t="shared" si="24"/>
        <v>0</v>
      </c>
      <c r="L108" s="111">
        <f t="shared" si="24"/>
        <v>0</v>
      </c>
      <c r="M108" s="111">
        <f t="shared" si="24"/>
        <v>0</v>
      </c>
      <c r="N108" s="79">
        <f>SUM(B108:M108)</f>
        <v>0</v>
      </c>
    </row>
    <row r="109" spans="1:14" ht="21" customHeight="1" x14ac:dyDescent="0.35">
      <c r="A109" s="44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</row>
    <row r="110" spans="1:14" ht="21" customHeight="1" x14ac:dyDescent="0.3">
      <c r="A110" s="144" t="s">
        <v>112</v>
      </c>
    </row>
    <row r="112" spans="1:14" ht="21" customHeight="1" x14ac:dyDescent="0.3">
      <c r="A112" s="215"/>
      <c r="B112" s="215"/>
      <c r="C112" s="215"/>
      <c r="D112" s="215"/>
      <c r="E112" s="215"/>
      <c r="F112" s="215"/>
    </row>
    <row r="113" spans="1:6" ht="21" customHeight="1" x14ac:dyDescent="0.3">
      <c r="A113" s="210"/>
      <c r="B113" s="211"/>
      <c r="C113" s="211"/>
      <c r="D113" s="211"/>
      <c r="E113" s="211"/>
      <c r="F113" s="211"/>
    </row>
    <row r="114" spans="1:6" ht="21" customHeight="1" x14ac:dyDescent="0.3">
      <c r="A114" s="212"/>
      <c r="B114" s="211"/>
      <c r="C114" s="211"/>
      <c r="D114" s="211"/>
      <c r="E114" s="211"/>
      <c r="F114" s="211"/>
    </row>
    <row r="115" spans="1:6" ht="21" customHeight="1" x14ac:dyDescent="0.35">
      <c r="A115" s="64"/>
      <c r="B115" s="206"/>
      <c r="C115" s="206"/>
      <c r="D115" s="206"/>
      <c r="E115" s="206"/>
      <c r="F115" s="206"/>
    </row>
    <row r="116" spans="1:6" ht="21" customHeight="1" x14ac:dyDescent="0.35">
      <c r="A116" s="64"/>
      <c r="B116" s="206"/>
      <c r="C116" s="206"/>
      <c r="D116" s="206"/>
      <c r="E116" s="206"/>
      <c r="F116" s="206"/>
    </row>
    <row r="117" spans="1:6" ht="21" customHeight="1" x14ac:dyDescent="0.35">
      <c r="A117" s="64"/>
      <c r="B117" s="206"/>
      <c r="C117" s="206"/>
      <c r="D117" s="206"/>
      <c r="E117" s="206"/>
      <c r="F117" s="206"/>
    </row>
    <row r="118" spans="1:6" ht="21" customHeight="1" x14ac:dyDescent="0.35">
      <c r="A118" s="64"/>
      <c r="B118" s="206"/>
      <c r="C118" s="206"/>
      <c r="D118" s="206"/>
      <c r="E118" s="206"/>
      <c r="F118" s="206"/>
    </row>
    <row r="119" spans="1:6" ht="21" customHeight="1" x14ac:dyDescent="0.35">
      <c r="A119" s="64"/>
      <c r="B119" s="206"/>
      <c r="C119" s="206"/>
      <c r="D119" s="206"/>
      <c r="E119" s="206"/>
      <c r="F119" s="206"/>
    </row>
    <row r="120" spans="1:6" ht="21" customHeight="1" x14ac:dyDescent="0.35">
      <c r="A120" s="64"/>
      <c r="B120" s="206"/>
      <c r="C120" s="206"/>
      <c r="D120" s="206"/>
      <c r="E120" s="206"/>
      <c r="F120" s="206"/>
    </row>
    <row r="121" spans="1:6" ht="21" customHeight="1" x14ac:dyDescent="0.35">
      <c r="A121" s="64"/>
      <c r="B121" s="206"/>
      <c r="C121" s="206"/>
      <c r="D121" s="206"/>
      <c r="E121" s="206"/>
      <c r="F121" s="206"/>
    </row>
    <row r="122" spans="1:6" ht="21" customHeight="1" x14ac:dyDescent="0.35">
      <c r="A122" s="64"/>
      <c r="B122" s="206"/>
      <c r="C122" s="206"/>
      <c r="D122" s="206"/>
      <c r="E122" s="206"/>
      <c r="F122" s="206"/>
    </row>
    <row r="123" spans="1:6" ht="21" customHeight="1" x14ac:dyDescent="0.35">
      <c r="A123" s="64"/>
      <c r="B123" s="206"/>
      <c r="C123" s="206"/>
      <c r="D123" s="206"/>
      <c r="E123" s="206"/>
      <c r="F123" s="206"/>
    </row>
    <row r="124" spans="1:6" ht="21" customHeight="1" x14ac:dyDescent="0.35">
      <c r="A124" s="64"/>
      <c r="B124" s="206"/>
      <c r="C124" s="206"/>
      <c r="D124" s="206"/>
      <c r="E124" s="206"/>
      <c r="F124" s="206"/>
    </row>
    <row r="125" spans="1:6" ht="21" customHeight="1" x14ac:dyDescent="0.35">
      <c r="A125" s="64"/>
      <c r="B125" s="206"/>
      <c r="C125" s="206"/>
      <c r="D125" s="206"/>
      <c r="E125" s="206"/>
      <c r="F125" s="206"/>
    </row>
    <row r="126" spans="1:6" ht="21" customHeight="1" x14ac:dyDescent="0.35">
      <c r="A126" s="64"/>
      <c r="B126" s="206"/>
      <c r="C126" s="206"/>
      <c r="D126" s="206"/>
      <c r="E126" s="206"/>
      <c r="F126" s="206"/>
    </row>
    <row r="127" spans="1:6" ht="21" customHeight="1" x14ac:dyDescent="0.35">
      <c r="A127" s="64"/>
      <c r="B127" s="206"/>
      <c r="C127" s="206"/>
      <c r="D127" s="206"/>
      <c r="E127" s="206"/>
      <c r="F127" s="206"/>
    </row>
    <row r="128" spans="1:6" ht="21" customHeight="1" x14ac:dyDescent="0.35">
      <c r="A128" s="64"/>
      <c r="B128" s="206"/>
      <c r="C128" s="206"/>
      <c r="D128" s="206"/>
      <c r="E128" s="206"/>
      <c r="F128" s="206"/>
    </row>
    <row r="129" spans="1:6" ht="21" customHeight="1" x14ac:dyDescent="0.35">
      <c r="A129" s="64"/>
      <c r="B129" s="206"/>
      <c r="C129" s="206"/>
      <c r="D129" s="206"/>
      <c r="E129" s="206"/>
      <c r="F129" s="206"/>
    </row>
    <row r="130" spans="1:6" ht="21" customHeight="1" x14ac:dyDescent="0.35">
      <c r="A130" s="64"/>
      <c r="B130" s="206"/>
      <c r="C130" s="206"/>
      <c r="D130" s="206"/>
      <c r="E130" s="206"/>
      <c r="F130" s="206"/>
    </row>
    <row r="131" spans="1:6" ht="21" customHeight="1" x14ac:dyDescent="0.35">
      <c r="A131" s="64"/>
      <c r="B131" s="206"/>
      <c r="C131" s="206"/>
      <c r="D131" s="206"/>
      <c r="E131" s="206"/>
      <c r="F131" s="206"/>
    </row>
    <row r="132" spans="1:6" ht="21" customHeight="1" x14ac:dyDescent="0.35">
      <c r="A132" s="64"/>
      <c r="B132" s="206"/>
      <c r="C132" s="206"/>
      <c r="D132" s="206"/>
      <c r="E132" s="206"/>
      <c r="F132" s="206"/>
    </row>
    <row r="133" spans="1:6" ht="21" customHeight="1" x14ac:dyDescent="0.35">
      <c r="A133" s="213"/>
      <c r="B133" s="206"/>
      <c r="C133" s="206"/>
      <c r="D133" s="206"/>
      <c r="E133" s="206"/>
      <c r="F133" s="206"/>
    </row>
    <row r="134" spans="1:6" ht="21" customHeight="1" x14ac:dyDescent="0.35">
      <c r="A134" s="214"/>
      <c r="B134" s="206"/>
      <c r="C134" s="206"/>
      <c r="D134" s="206"/>
      <c r="E134" s="206"/>
      <c r="F134" s="206"/>
    </row>
    <row r="135" spans="1:6" ht="21" customHeight="1" x14ac:dyDescent="0.35">
      <c r="A135" s="214"/>
      <c r="B135" s="206"/>
      <c r="C135" s="206"/>
      <c r="D135" s="206"/>
      <c r="E135" s="206"/>
      <c r="F135" s="206"/>
    </row>
    <row r="136" spans="1:6" ht="21" customHeight="1" x14ac:dyDescent="0.35">
      <c r="A136" s="64"/>
      <c r="B136" s="206"/>
      <c r="C136" s="206"/>
      <c r="D136" s="206"/>
      <c r="E136" s="206"/>
      <c r="F136" s="206"/>
    </row>
    <row r="137" spans="1:6" ht="21" customHeight="1" x14ac:dyDescent="0.35">
      <c r="A137" s="64"/>
      <c r="B137" s="206"/>
      <c r="C137" s="206"/>
      <c r="D137" s="206"/>
      <c r="E137" s="206"/>
      <c r="F137" s="206"/>
    </row>
    <row r="138" spans="1:6" ht="21" customHeight="1" x14ac:dyDescent="0.35">
      <c r="A138" s="64"/>
      <c r="B138" s="206"/>
      <c r="C138" s="206"/>
      <c r="D138" s="206"/>
      <c r="E138" s="206"/>
      <c r="F138" s="206"/>
    </row>
    <row r="139" spans="1:6" ht="21" customHeight="1" x14ac:dyDescent="0.35">
      <c r="A139" s="64"/>
      <c r="B139" s="206"/>
      <c r="C139" s="206"/>
      <c r="D139" s="206"/>
      <c r="E139" s="206"/>
      <c r="F139" s="206"/>
    </row>
    <row r="140" spans="1:6" ht="21" customHeight="1" x14ac:dyDescent="0.35">
      <c r="A140" s="64"/>
      <c r="B140" s="206"/>
      <c r="C140" s="206"/>
      <c r="D140" s="206"/>
      <c r="E140" s="206"/>
      <c r="F140" s="206"/>
    </row>
    <row r="141" spans="1:6" ht="21" customHeight="1" x14ac:dyDescent="0.3">
      <c r="A141" s="215"/>
      <c r="B141" s="215"/>
      <c r="C141" s="215"/>
      <c r="D141" s="215"/>
      <c r="E141" s="215"/>
      <c r="F141" s="215"/>
    </row>
    <row r="142" spans="1:6" ht="21" customHeight="1" x14ac:dyDescent="0.3">
      <c r="A142" s="215"/>
      <c r="B142" s="215"/>
      <c r="C142" s="215"/>
      <c r="D142" s="215"/>
      <c r="E142" s="215"/>
      <c r="F142" s="215"/>
    </row>
    <row r="143" spans="1:6" ht="21" customHeight="1" x14ac:dyDescent="0.3">
      <c r="A143" s="215"/>
      <c r="B143" s="215"/>
      <c r="C143" s="215"/>
      <c r="D143" s="215"/>
      <c r="E143" s="215"/>
      <c r="F143" s="215"/>
    </row>
  </sheetData>
  <mergeCells count="32">
    <mergeCell ref="B129:F129"/>
    <mergeCell ref="B124:F124"/>
    <mergeCell ref="B125:F125"/>
    <mergeCell ref="B126:F126"/>
    <mergeCell ref="B127:F127"/>
    <mergeCell ref="B128:F128"/>
    <mergeCell ref="B119:F119"/>
    <mergeCell ref="B120:F120"/>
    <mergeCell ref="B121:F121"/>
    <mergeCell ref="B122:F122"/>
    <mergeCell ref="B123:F123"/>
    <mergeCell ref="B114:F114"/>
    <mergeCell ref="B115:F115"/>
    <mergeCell ref="B116:F116"/>
    <mergeCell ref="B117:F117"/>
    <mergeCell ref="B118:F118"/>
    <mergeCell ref="A92:B92"/>
    <mergeCell ref="A87:B87"/>
    <mergeCell ref="A74:B74"/>
    <mergeCell ref="A52:B52"/>
    <mergeCell ref="B113:F113"/>
    <mergeCell ref="B130:F130"/>
    <mergeCell ref="B131:F131"/>
    <mergeCell ref="B132:F132"/>
    <mergeCell ref="B133:F133"/>
    <mergeCell ref="B134:F134"/>
    <mergeCell ref="B140:F140"/>
    <mergeCell ref="B135:F135"/>
    <mergeCell ref="B136:F136"/>
    <mergeCell ref="B137:F137"/>
    <mergeCell ref="B138:F138"/>
    <mergeCell ref="B139:F139"/>
  </mergeCells>
  <printOptions horizontalCentered="1"/>
  <pageMargins left="0.4" right="0.4" top="0.4" bottom="0.4" header="0.3" footer="0.3"/>
  <pageSetup paperSize="3" scale="70" orientation="portrait" r:id="rId1"/>
  <headerFooter differentFirst="1">
    <oddFooter>Page &amp;P of &amp;N</oddFooter>
  </headerFooter>
  <drawing r:id="rId2"/>
  <tableParts count="7">
    <tablePart r:id="rId3"/>
    <tablePart r:id="rId4"/>
    <tablePart r:id="rId5"/>
    <tablePart r:id="rId6"/>
    <tablePart r:id="rId7"/>
    <tablePart r:id="rId8"/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B1" workbookViewId="0"/>
  </sheetViews>
  <sheetFormatPr defaultRowHeight="15" x14ac:dyDescent="0.35"/>
  <cols>
    <col min="1" max="1" width="12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theme="5"/>
    <pageSetUpPr autoPageBreaks="0" fitToPage="1"/>
  </sheetPr>
  <dimension ref="A1:O151"/>
  <sheetViews>
    <sheetView showGridLines="0" zoomScale="90" zoomScaleNormal="90" workbookViewId="0">
      <pane xSplit="1" topLeftCell="B1" activePane="topRight" state="frozen"/>
      <selection activeCell="A4" sqref="A4"/>
      <selection pane="topRight" activeCell="H120" sqref="H120"/>
    </sheetView>
  </sheetViews>
  <sheetFormatPr defaultColWidth="9.33203125" defaultRowHeight="21" customHeight="1" x14ac:dyDescent="0.3"/>
  <cols>
    <col min="1" max="1" width="45.5" style="12" bestFit="1" customWidth="1"/>
    <col min="2" max="2" width="13.83203125" style="12" customWidth="1"/>
    <col min="3" max="8" width="13.83203125" style="12" bestFit="1" customWidth="1"/>
    <col min="9" max="14" width="15.6640625" style="12" bestFit="1" customWidth="1"/>
    <col min="15" max="16384" width="9.33203125" style="12"/>
  </cols>
  <sheetData>
    <row r="1" spans="1:14" ht="9.9499999999999993" customHeight="1" x14ac:dyDescent="0.3">
      <c r="M1" s="1"/>
      <c r="N1" s="1"/>
    </row>
    <row r="2" spans="1:14" ht="27" x14ac:dyDescent="0.35">
      <c r="A2" s="20"/>
      <c r="B2" s="20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.75" x14ac:dyDescent="0.3">
      <c r="A3" s="14" t="s">
        <v>91</v>
      </c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1" customFormat="1" ht="21" customHeight="1" x14ac:dyDescent="0.3">
      <c r="A4" s="17" t="s">
        <v>96</v>
      </c>
      <c r="B4" s="15" t="s">
        <v>1</v>
      </c>
      <c r="C4" s="15" t="s">
        <v>2</v>
      </c>
      <c r="D4" s="16" t="s">
        <v>3</v>
      </c>
      <c r="E4" s="15" t="s">
        <v>4</v>
      </c>
      <c r="F4" s="15" t="s">
        <v>5</v>
      </c>
      <c r="G4" s="15" t="s">
        <v>6</v>
      </c>
      <c r="H4" s="16" t="s">
        <v>7</v>
      </c>
      <c r="I4" s="15" t="s">
        <v>8</v>
      </c>
      <c r="J4" s="15" t="s">
        <v>9</v>
      </c>
      <c r="K4" s="15" t="s">
        <v>10</v>
      </c>
      <c r="L4" s="15" t="s">
        <v>11</v>
      </c>
      <c r="M4" s="16" t="s">
        <v>12</v>
      </c>
      <c r="N4" s="15" t="s">
        <v>13</v>
      </c>
    </row>
    <row r="5" spans="1:14" s="13" customFormat="1" ht="21" customHeight="1" x14ac:dyDescent="0.3">
      <c r="A5" s="62" t="s">
        <v>57</v>
      </c>
      <c r="B5" s="63" t="s">
        <v>1</v>
      </c>
      <c r="C5" s="63" t="s">
        <v>2</v>
      </c>
      <c r="D5" s="63" t="s">
        <v>3</v>
      </c>
      <c r="E5" s="63" t="s">
        <v>4</v>
      </c>
      <c r="F5" s="63" t="s">
        <v>5</v>
      </c>
      <c r="G5" s="63" t="s">
        <v>6</v>
      </c>
      <c r="H5" s="63" t="s">
        <v>7</v>
      </c>
      <c r="I5" s="63" t="s">
        <v>8</v>
      </c>
      <c r="J5" s="63" t="s">
        <v>9</v>
      </c>
      <c r="K5" s="63" t="s">
        <v>10</v>
      </c>
      <c r="L5" s="63" t="s">
        <v>11</v>
      </c>
      <c r="M5" s="63" t="s">
        <v>12</v>
      </c>
      <c r="N5" s="63" t="s">
        <v>13</v>
      </c>
    </row>
    <row r="6" spans="1:14" s="13" customFormat="1" ht="21" customHeight="1" x14ac:dyDescent="0.35">
      <c r="A6" s="64" t="s">
        <v>54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>
        <f>SUM(B6:M6)</f>
        <v>0</v>
      </c>
    </row>
    <row r="7" spans="1:14" s="13" customFormat="1" ht="21" customHeight="1" x14ac:dyDescent="0.35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>
        <f>SUM(B7:M7)</f>
        <v>0</v>
      </c>
    </row>
    <row r="8" spans="1:14" ht="21" customHeight="1" x14ac:dyDescent="0.35">
      <c r="A8" s="64" t="s">
        <v>16</v>
      </c>
      <c r="B8" s="85">
        <f>B6+B7</f>
        <v>0</v>
      </c>
      <c r="C8" s="85">
        <f t="shared" ref="C8:N8" si="0">C6+C7</f>
        <v>0</v>
      </c>
      <c r="D8" s="85">
        <f t="shared" si="0"/>
        <v>0</v>
      </c>
      <c r="E8" s="85">
        <f t="shared" si="0"/>
        <v>0</v>
      </c>
      <c r="F8" s="65">
        <f>F6+F7</f>
        <v>0</v>
      </c>
      <c r="G8" s="85">
        <f t="shared" si="0"/>
        <v>0</v>
      </c>
      <c r="H8" s="85">
        <f t="shared" si="0"/>
        <v>0</v>
      </c>
      <c r="I8" s="85">
        <f t="shared" si="0"/>
        <v>0</v>
      </c>
      <c r="J8" s="85">
        <f t="shared" si="0"/>
        <v>0</v>
      </c>
      <c r="K8" s="85">
        <f t="shared" si="0"/>
        <v>0</v>
      </c>
      <c r="L8" s="85">
        <f t="shared" si="0"/>
        <v>0</v>
      </c>
      <c r="M8" s="85">
        <f t="shared" si="0"/>
        <v>0</v>
      </c>
      <c r="N8" s="85">
        <f t="shared" si="0"/>
        <v>0</v>
      </c>
    </row>
    <row r="9" spans="1:14" ht="21" customHeight="1" x14ac:dyDescent="0.3">
      <c r="A9" s="26"/>
      <c r="B9" s="6"/>
      <c r="C9" s="6"/>
      <c r="D9" s="7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21" customHeight="1" x14ac:dyDescent="0.3">
      <c r="A10" s="39" t="s">
        <v>55</v>
      </c>
      <c r="B10" s="35" t="s">
        <v>1</v>
      </c>
      <c r="C10" s="35" t="s">
        <v>2</v>
      </c>
      <c r="D10" s="36" t="s">
        <v>3</v>
      </c>
      <c r="E10" s="35" t="s">
        <v>4</v>
      </c>
      <c r="F10" s="35" t="s">
        <v>5</v>
      </c>
      <c r="G10" s="35" t="s">
        <v>6</v>
      </c>
      <c r="H10" s="35" t="s">
        <v>7</v>
      </c>
      <c r="I10" s="35" t="s">
        <v>8</v>
      </c>
      <c r="J10" s="35" t="s">
        <v>9</v>
      </c>
      <c r="K10" s="35" t="s">
        <v>10</v>
      </c>
      <c r="L10" s="35" t="s">
        <v>11</v>
      </c>
      <c r="M10" s="35" t="s">
        <v>12</v>
      </c>
      <c r="N10" s="35" t="s">
        <v>13</v>
      </c>
    </row>
    <row r="11" spans="1:14" ht="21" customHeight="1" x14ac:dyDescent="0.35">
      <c r="A11" s="64" t="s">
        <v>124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>
        <f t="shared" ref="N11:N18" si="1">SUM(B11:M11)</f>
        <v>0</v>
      </c>
    </row>
    <row r="12" spans="1:14" ht="21" customHeight="1" x14ac:dyDescent="0.35">
      <c r="A12" s="157" t="s">
        <v>123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>
        <f t="shared" si="1"/>
        <v>0</v>
      </c>
    </row>
    <row r="13" spans="1:14" ht="21" customHeight="1" x14ac:dyDescent="0.35">
      <c r="A13" s="41" t="s">
        <v>58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>
        <f t="shared" si="1"/>
        <v>0</v>
      </c>
    </row>
    <row r="14" spans="1:14" ht="21" customHeight="1" x14ac:dyDescent="0.35">
      <c r="A14" s="31" t="s">
        <v>135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>
        <f>SUM(B14:M14)</f>
        <v>0</v>
      </c>
    </row>
    <row r="15" spans="1:14" ht="21" customHeight="1" x14ac:dyDescent="0.35">
      <c r="A15" s="189" t="s">
        <v>136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>
        <f>SUM(B15:M15)</f>
        <v>0</v>
      </c>
    </row>
    <row r="16" spans="1:14" ht="21" customHeight="1" x14ac:dyDescent="0.35">
      <c r="A16" s="41" t="s">
        <v>59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>
        <f t="shared" si="1"/>
        <v>0</v>
      </c>
    </row>
    <row r="17" spans="1:14" ht="21" hidden="1" customHeight="1" x14ac:dyDescent="0.35">
      <c r="A17" s="31" t="s">
        <v>60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>
        <f t="shared" si="1"/>
        <v>0</v>
      </c>
    </row>
    <row r="18" spans="1:14" ht="21" customHeight="1" x14ac:dyDescent="0.35">
      <c r="A18" s="43" t="s">
        <v>61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>
        <f t="shared" si="1"/>
        <v>0</v>
      </c>
    </row>
    <row r="19" spans="1:14" ht="21" customHeight="1" x14ac:dyDescent="0.35">
      <c r="A19" s="198" t="s">
        <v>16</v>
      </c>
      <c r="B19" s="85">
        <f>SUM(B11:B18)</f>
        <v>0</v>
      </c>
      <c r="C19" s="85">
        <f>SUM(C11:C18)</f>
        <v>0</v>
      </c>
      <c r="D19" s="85">
        <f t="shared" ref="D19:M19" si="2">SUM(D11:D18)</f>
        <v>0</v>
      </c>
      <c r="E19" s="85">
        <f t="shared" si="2"/>
        <v>0</v>
      </c>
      <c r="F19" s="85">
        <f t="shared" si="2"/>
        <v>0</v>
      </c>
      <c r="G19" s="85">
        <f>SUM(G11:G18)</f>
        <v>0</v>
      </c>
      <c r="H19" s="85">
        <f t="shared" si="2"/>
        <v>0</v>
      </c>
      <c r="I19" s="85">
        <f t="shared" si="2"/>
        <v>0</v>
      </c>
      <c r="J19" s="85">
        <f t="shared" si="2"/>
        <v>0</v>
      </c>
      <c r="K19" s="85">
        <f t="shared" si="2"/>
        <v>0</v>
      </c>
      <c r="L19" s="85">
        <f t="shared" si="2"/>
        <v>0</v>
      </c>
      <c r="M19" s="85">
        <f t="shared" si="2"/>
        <v>0</v>
      </c>
      <c r="N19" s="85">
        <f>SUBTOTAL(109,tblEmplPlan141518[YEAR])</f>
        <v>0</v>
      </c>
    </row>
    <row r="20" spans="1:14" ht="21" customHeight="1" x14ac:dyDescent="0.35">
      <c r="A20" s="40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</row>
    <row r="21" spans="1:14" ht="21" customHeight="1" x14ac:dyDescent="0.3">
      <c r="A21" s="17" t="s">
        <v>72</v>
      </c>
      <c r="B21" s="18"/>
      <c r="C21" s="18"/>
      <c r="D21" s="19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4" ht="21" customHeight="1" x14ac:dyDescent="0.35">
      <c r="A22" s="24" t="s">
        <v>72</v>
      </c>
      <c r="B22" s="79">
        <f>tblEmplPlan1417[[#Totals],[Jan]]+tblEmplPlan141518[[#Totals],[Jan]]</f>
        <v>0</v>
      </c>
      <c r="C22" s="79">
        <f>tblEmplPlan1417[[#Totals],[Feb]]+tblEmplPlan141518[[#Totals],[Feb]]</f>
        <v>0</v>
      </c>
      <c r="D22" s="79">
        <f>tblEmplPlan1417[[#Totals],[Mar]]+tblEmplPlan141518[[#Totals],[Mar]]</f>
        <v>0</v>
      </c>
      <c r="E22" s="79">
        <f>tblEmplPlan1417[[#Totals],[Apr]]+tblEmplPlan141518[[#Totals],[Apr]]</f>
        <v>0</v>
      </c>
      <c r="F22" s="79">
        <f>tblEmplPlan1417[[#Totals],[May]]+tblEmplPlan141518[[#Totals],[May]]</f>
        <v>0</v>
      </c>
      <c r="G22" s="79">
        <f>tblEmplPlan1417[[#Totals],[Jun]]+tblEmplPlan141518[[#Totals],[Jun]]</f>
        <v>0</v>
      </c>
      <c r="H22" s="79">
        <f>tblEmplPlan1417[[#Totals],[Jul]]+tblEmplPlan141518[[#Totals],[Jul]]</f>
        <v>0</v>
      </c>
      <c r="I22" s="79">
        <f>tblEmplPlan1417[[#Totals],[Aug]]+tblEmplPlan141518[[#Totals],[Aug]]</f>
        <v>0</v>
      </c>
      <c r="J22" s="79">
        <f>tblEmplPlan1417[[#Totals],[Sep]]+tblEmplPlan141518[[#Totals],[Sep]]</f>
        <v>0</v>
      </c>
      <c r="K22" s="79">
        <f>tblEmplPlan1417[[#Totals],[Oct]]+tblEmplPlan141518[[#Totals],[Oct]]</f>
        <v>0</v>
      </c>
      <c r="L22" s="79">
        <f>tblEmplPlan1417[[#Totals],[Nov]]+tblEmplPlan141518[[#Totals],[Nov]]</f>
        <v>0</v>
      </c>
      <c r="M22" s="79">
        <f>tblEmplPlan1417[[#Totals],[Dec]]+tblEmplPlan141518[[#Totals],[Dec]]</f>
        <v>0</v>
      </c>
      <c r="N22" s="80">
        <f>B22+C22+D22+E22+F22+G22+H22+I22+J22+K22+L22+M22</f>
        <v>0</v>
      </c>
    </row>
    <row r="23" spans="1:14" ht="21" customHeight="1" x14ac:dyDescent="0.35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</row>
    <row r="24" spans="1:14" ht="21" customHeight="1" x14ac:dyDescent="0.3">
      <c r="A24" s="39" t="s">
        <v>65</v>
      </c>
      <c r="B24" s="35" t="s">
        <v>1</v>
      </c>
      <c r="C24" s="184" t="s">
        <v>2</v>
      </c>
      <c r="D24" s="36" t="s">
        <v>3</v>
      </c>
      <c r="E24" s="35" t="s">
        <v>4</v>
      </c>
      <c r="F24" s="35" t="s">
        <v>5</v>
      </c>
      <c r="G24" s="35" t="s">
        <v>6</v>
      </c>
      <c r="H24" s="35" t="s">
        <v>7</v>
      </c>
      <c r="I24" s="35" t="s">
        <v>8</v>
      </c>
      <c r="J24" s="35" t="s">
        <v>9</v>
      </c>
      <c r="K24" s="35" t="s">
        <v>10</v>
      </c>
      <c r="L24" s="35" t="s">
        <v>11</v>
      </c>
      <c r="M24" s="35" t="s">
        <v>12</v>
      </c>
      <c r="N24" s="35" t="s">
        <v>13</v>
      </c>
    </row>
    <row r="25" spans="1:14" ht="21" customHeight="1" x14ac:dyDescent="0.35">
      <c r="A25" s="46" t="s">
        <v>71</v>
      </c>
      <c r="B25" s="166"/>
      <c r="C25" s="166"/>
      <c r="D25" s="166"/>
      <c r="E25" s="156"/>
      <c r="F25" s="166"/>
      <c r="G25" s="156"/>
      <c r="H25" s="156"/>
      <c r="I25" s="156"/>
      <c r="J25" s="165"/>
      <c r="K25" s="166"/>
      <c r="L25" s="166"/>
      <c r="M25" s="156"/>
      <c r="N25" s="149">
        <f t="shared" ref="N25:N37" si="3">SUM(B25:M25)</f>
        <v>0</v>
      </c>
    </row>
    <row r="26" spans="1:14" ht="21" customHeight="1" x14ac:dyDescent="0.35">
      <c r="A26" s="164" t="s">
        <v>140</v>
      </c>
      <c r="B26" s="166"/>
      <c r="C26" s="166"/>
      <c r="D26" s="166"/>
      <c r="E26" s="156"/>
      <c r="F26" s="167"/>
      <c r="G26" s="156"/>
      <c r="H26" s="156"/>
      <c r="I26" s="156"/>
      <c r="J26" s="165"/>
      <c r="K26" s="167"/>
      <c r="L26" s="166"/>
      <c r="M26" s="156"/>
      <c r="N26" s="149">
        <f t="shared" si="3"/>
        <v>0</v>
      </c>
    </row>
    <row r="27" spans="1:14" ht="21" customHeight="1" x14ac:dyDescent="0.35">
      <c r="A27" s="31" t="s">
        <v>66</v>
      </c>
      <c r="B27" s="168"/>
      <c r="C27" s="168"/>
      <c r="D27" s="168"/>
      <c r="E27" s="114"/>
      <c r="F27" s="168"/>
      <c r="G27" s="114"/>
      <c r="H27" s="114"/>
      <c r="I27" s="114"/>
      <c r="J27" s="114"/>
      <c r="K27" s="168"/>
      <c r="L27" s="168"/>
      <c r="M27" s="114"/>
      <c r="N27" s="149">
        <f t="shared" si="3"/>
        <v>0</v>
      </c>
    </row>
    <row r="28" spans="1:14" ht="21" customHeight="1" x14ac:dyDescent="0.35">
      <c r="A28" s="41" t="s">
        <v>67</v>
      </c>
      <c r="B28" s="168"/>
      <c r="C28" s="168"/>
      <c r="D28" s="114"/>
      <c r="E28" s="114"/>
      <c r="F28" s="168"/>
      <c r="G28" s="114"/>
      <c r="H28" s="114"/>
      <c r="I28" s="114"/>
      <c r="J28" s="114"/>
      <c r="K28" s="168"/>
      <c r="L28" s="168"/>
      <c r="M28" s="114"/>
      <c r="N28" s="149">
        <f t="shared" si="3"/>
        <v>0</v>
      </c>
    </row>
    <row r="29" spans="1:14" ht="21" customHeight="1" x14ac:dyDescent="0.35">
      <c r="A29" s="189" t="s">
        <v>137</v>
      </c>
      <c r="B29" s="168"/>
      <c r="C29" s="168"/>
      <c r="D29" s="114"/>
      <c r="E29" s="114"/>
      <c r="F29" s="168"/>
      <c r="G29" s="114"/>
      <c r="H29" s="114"/>
      <c r="I29" s="114"/>
      <c r="J29" s="114"/>
      <c r="K29" s="168"/>
      <c r="L29" s="168"/>
      <c r="M29" s="114"/>
      <c r="N29" s="190">
        <f>SUM(B29:M29)</f>
        <v>0</v>
      </c>
    </row>
    <row r="30" spans="1:14" ht="21" customHeight="1" x14ac:dyDescent="0.35">
      <c r="A30" s="41" t="s">
        <v>68</v>
      </c>
      <c r="B30" s="168"/>
      <c r="C30" s="168"/>
      <c r="D30" s="114"/>
      <c r="E30" s="114"/>
      <c r="F30" s="168"/>
      <c r="G30" s="114"/>
      <c r="H30" s="114"/>
      <c r="I30" s="114"/>
      <c r="J30" s="114"/>
      <c r="K30" s="168"/>
      <c r="L30" s="168"/>
      <c r="M30" s="114"/>
      <c r="N30" s="149">
        <f t="shared" si="3"/>
        <v>0</v>
      </c>
    </row>
    <row r="31" spans="1:14" ht="21" hidden="1" customHeight="1" x14ac:dyDescent="0.35">
      <c r="A31" s="31" t="s">
        <v>69</v>
      </c>
      <c r="B31" s="114"/>
      <c r="C31" s="168"/>
      <c r="D31" s="114"/>
      <c r="E31" s="114"/>
      <c r="F31" s="168"/>
      <c r="G31" s="114"/>
      <c r="H31" s="114"/>
      <c r="I31" s="114"/>
      <c r="J31" s="114"/>
      <c r="K31" s="168"/>
      <c r="L31" s="168"/>
      <c r="M31" s="114"/>
      <c r="N31" s="149">
        <f t="shared" si="3"/>
        <v>0</v>
      </c>
    </row>
    <row r="32" spans="1:14" ht="21" customHeight="1" x14ac:dyDescent="0.35">
      <c r="A32" s="162" t="s">
        <v>126</v>
      </c>
      <c r="B32" s="168"/>
      <c r="C32" s="168"/>
      <c r="D32" s="114"/>
      <c r="E32" s="114"/>
      <c r="F32" s="168"/>
      <c r="G32" s="114"/>
      <c r="H32" s="114"/>
      <c r="I32" s="114"/>
      <c r="J32" s="114"/>
      <c r="K32" s="168"/>
      <c r="L32" s="168"/>
      <c r="M32" s="114"/>
      <c r="N32" s="149">
        <f t="shared" si="3"/>
        <v>0</v>
      </c>
    </row>
    <row r="33" spans="1:15" ht="7.5" customHeight="1" x14ac:dyDescent="0.35">
      <c r="A33" s="171"/>
      <c r="B33" s="114"/>
      <c r="C33" s="168"/>
      <c r="D33" s="114"/>
      <c r="E33" s="114"/>
      <c r="F33" s="114"/>
      <c r="G33" s="114"/>
      <c r="H33" s="114"/>
      <c r="I33" s="114"/>
      <c r="J33" s="114"/>
      <c r="K33" s="168"/>
      <c r="L33" s="168"/>
      <c r="M33" s="114"/>
      <c r="N33" s="149">
        <f t="shared" si="3"/>
        <v>0</v>
      </c>
    </row>
    <row r="34" spans="1:15" ht="21" customHeight="1" x14ac:dyDescent="0.35">
      <c r="A34" s="41" t="s">
        <v>78</v>
      </c>
      <c r="B34" s="32"/>
      <c r="C34" s="207"/>
      <c r="D34" s="32"/>
      <c r="E34" s="32"/>
      <c r="F34" s="32"/>
      <c r="G34" s="32"/>
      <c r="H34" s="32"/>
      <c r="I34" s="32"/>
      <c r="J34" s="32"/>
      <c r="K34" s="32"/>
      <c r="L34" s="32"/>
      <c r="M34" s="114"/>
      <c r="N34" s="149">
        <f t="shared" si="3"/>
        <v>0</v>
      </c>
    </row>
    <row r="35" spans="1:15" ht="21" customHeight="1" x14ac:dyDescent="0.35">
      <c r="A35" s="41" t="s">
        <v>81</v>
      </c>
      <c r="B35" s="32"/>
      <c r="C35" s="207"/>
      <c r="D35" s="32"/>
      <c r="E35" s="32"/>
      <c r="F35" s="32"/>
      <c r="G35" s="32"/>
      <c r="H35" s="32"/>
      <c r="I35" s="32"/>
      <c r="J35" s="32"/>
      <c r="K35" s="32"/>
      <c r="L35" s="32"/>
      <c r="M35" s="114"/>
      <c r="N35" s="149">
        <f t="shared" si="3"/>
        <v>0</v>
      </c>
    </row>
    <row r="36" spans="1:15" ht="21" customHeight="1" x14ac:dyDescent="0.35">
      <c r="A36" s="189" t="s">
        <v>134</v>
      </c>
      <c r="B36" s="208"/>
      <c r="C36" s="209"/>
      <c r="D36" s="208"/>
      <c r="E36" s="208"/>
      <c r="F36" s="208"/>
      <c r="G36" s="208"/>
      <c r="H36" s="208"/>
      <c r="I36" s="208"/>
      <c r="J36" s="208"/>
      <c r="K36" s="209"/>
      <c r="L36" s="209"/>
      <c r="M36" s="114"/>
      <c r="N36" s="190">
        <f>SUM(B36:M36)</f>
        <v>0</v>
      </c>
    </row>
    <row r="37" spans="1:15" ht="21" customHeight="1" x14ac:dyDescent="0.35">
      <c r="A37" s="41" t="s">
        <v>80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114"/>
      <c r="N37" s="149">
        <f t="shared" si="3"/>
        <v>0</v>
      </c>
    </row>
    <row r="38" spans="1:15" ht="21" customHeight="1" x14ac:dyDescent="0.35">
      <c r="A38" s="181" t="s">
        <v>77</v>
      </c>
      <c r="B38" s="170">
        <f>SUM(tblEmplPlan14151619[Jan])</f>
        <v>0</v>
      </c>
      <c r="C38" s="170">
        <f>SUM(tblEmplPlan14151619[Feb])</f>
        <v>0</v>
      </c>
      <c r="D38" s="170">
        <f>SUM(tblEmplPlan14151619[Mar])</f>
        <v>0</v>
      </c>
      <c r="E38" s="170">
        <f>SUM(tblEmplPlan14151619[Apr])</f>
        <v>0</v>
      </c>
      <c r="F38" s="170">
        <f>SUM(tblEmplPlan14151619[May])</f>
        <v>0</v>
      </c>
      <c r="G38" s="170">
        <f>SUM(tblEmplPlan14151619[Jun])</f>
        <v>0</v>
      </c>
      <c r="H38" s="170">
        <f>SUM(tblEmplPlan14151619[Jul])</f>
        <v>0</v>
      </c>
      <c r="I38" s="170">
        <f>SUM(tblEmplPlan14151619[Aug])</f>
        <v>0</v>
      </c>
      <c r="J38" s="170">
        <f>SUM(tblEmplPlan14151619[Sep])</f>
        <v>0</v>
      </c>
      <c r="K38" s="170">
        <f>SUM(tblEmplPlan14151619[Oct])</f>
        <v>0</v>
      </c>
      <c r="L38" s="170">
        <f>SUM(tblEmplPlan14151619[Nov])</f>
        <v>0</v>
      </c>
      <c r="M38" s="170">
        <f>SUM(tblEmplPlan14151619[Dec])</f>
        <v>0</v>
      </c>
      <c r="N38" s="170">
        <f>SUBTOTAL(109,tblEmplPlan14151619[YEAR])</f>
        <v>0</v>
      </c>
    </row>
    <row r="39" spans="1:15" ht="21" customHeight="1" x14ac:dyDescent="0.35">
      <c r="A39" s="50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87"/>
    </row>
    <row r="40" spans="1:15" ht="21" customHeight="1" x14ac:dyDescent="0.3">
      <c r="A40" s="17" t="s">
        <v>73</v>
      </c>
      <c r="B40" s="18"/>
      <c r="C40" s="18"/>
      <c r="D40" s="19"/>
      <c r="E40" s="18"/>
      <c r="F40" s="18"/>
      <c r="G40" s="18"/>
      <c r="H40" s="18"/>
      <c r="I40" s="18"/>
      <c r="J40" s="18"/>
      <c r="K40" s="18"/>
      <c r="L40" s="18"/>
      <c r="M40" s="18"/>
      <c r="N40" s="76"/>
    </row>
    <row r="41" spans="1:15" ht="21" customHeight="1" x14ac:dyDescent="0.35">
      <c r="A41" s="24" t="s">
        <v>74</v>
      </c>
      <c r="B41" s="25">
        <f>tblEmplPlan1417[[#Totals],[Jan]]-B25-B26</f>
        <v>0</v>
      </c>
      <c r="C41" s="25">
        <f>tblEmplPlan1417[[#Totals],[Feb]]-C25-C26</f>
        <v>0</v>
      </c>
      <c r="D41" s="25">
        <f>tblEmplPlan1417[[#Totals],[Mar]]-D25-D26</f>
        <v>0</v>
      </c>
      <c r="E41" s="25">
        <f>tblEmplPlan1417[[#Totals],[Apr]]-E25-E26</f>
        <v>0</v>
      </c>
      <c r="F41" s="25">
        <f>tblEmplPlan1417[[#Totals],[May]]-F25-F26</f>
        <v>0</v>
      </c>
      <c r="G41" s="25">
        <f>tblEmplPlan1417[[#Totals],[Jun]]-G25-G26</f>
        <v>0</v>
      </c>
      <c r="H41" s="25">
        <f>tblEmplPlan1417[[#Totals],[Jul]]-H25-H26</f>
        <v>0</v>
      </c>
      <c r="I41" s="25">
        <f>tblEmplPlan1417[[#Totals],[Aug]]-I25-I26</f>
        <v>0</v>
      </c>
      <c r="J41" s="25">
        <f>tblEmplPlan1417[[#Totals],[Sep]]-J25-J26</f>
        <v>0</v>
      </c>
      <c r="K41" s="25">
        <f>tblEmplPlan1417[[#Totals],[Oct]]-K25-K26</f>
        <v>0</v>
      </c>
      <c r="L41" s="25">
        <f>tblEmplPlan1417[[#Totals],[Nov]]-L25-L26</f>
        <v>0</v>
      </c>
      <c r="M41" s="25">
        <f>tblEmplPlan1417[[#Totals],[Dec]]-M25-M26</f>
        <v>0</v>
      </c>
      <c r="N41" s="80">
        <f>SUM(B41:M41)</f>
        <v>0</v>
      </c>
    </row>
    <row r="42" spans="1:15" ht="21" customHeight="1" x14ac:dyDescent="0.35">
      <c r="A42" s="24" t="s">
        <v>75</v>
      </c>
      <c r="B42" s="25">
        <f>tblEmplPlan141518[[#Totals],[Jan]]-B27-B28-B29-B30-B32-B34-B35-B36-B37</f>
        <v>0</v>
      </c>
      <c r="C42" s="25">
        <f>tblEmplPlan141518[[#Totals],[Feb]]-C27-C28-C29-C30-C32-C34-C35-C36-C37</f>
        <v>0</v>
      </c>
      <c r="D42" s="25">
        <f>tblEmplPlan141518[[#Totals],[Mar]]-D27-D28-D29-D30-D32-D34-D35-D36-D37</f>
        <v>0</v>
      </c>
      <c r="E42" s="25">
        <f>tblEmplPlan141518[[#Totals],[Apr]]-E27-E28-E29-E30-E32-E34-E35-E36-E37</f>
        <v>0</v>
      </c>
      <c r="F42" s="25">
        <f>tblEmplPlan141518[[#Totals],[May]]-F27-F28-F29-F30-F32-F34-F35-F36-F37</f>
        <v>0</v>
      </c>
      <c r="G42" s="25">
        <f>tblEmplPlan141518[[#Totals],[Jun]]-G27-G28-G29-G30-G32-G34-G35-G36-G37</f>
        <v>0</v>
      </c>
      <c r="H42" s="25">
        <f>tblEmplPlan141518[[#Totals],[Jul]]-H27-H28-H29-H30-H32-H34-H35-H36-H37</f>
        <v>0</v>
      </c>
      <c r="I42" s="25">
        <f>tblEmplPlan141518[[#Totals],[Aug]]-I27-I28-I29-I30-I32-I34-I35-I36-I37</f>
        <v>0</v>
      </c>
      <c r="J42" s="25">
        <f>tblEmplPlan141518[[#Totals],[Sep]]-J27-J28-J29-J30-J32-J34-J35-J36-J37</f>
        <v>0</v>
      </c>
      <c r="K42" s="25">
        <f>tblEmplPlan141518[[#Totals],[Oct]]-K27-K28-K29-K30-K32-K34-K35-K36-K37</f>
        <v>0</v>
      </c>
      <c r="L42" s="25">
        <f>tblEmplPlan141518[[#Totals],[Nov]]-L27-L28-L29-L30-L32-L34-L35-L36-L37</f>
        <v>0</v>
      </c>
      <c r="M42" s="25">
        <f>tblEmplPlan141518[[#Totals],[Dec]]-M27-M28-M29-M30-M32-M34-M35-M36-M37</f>
        <v>0</v>
      </c>
      <c r="N42" s="80">
        <f t="shared" ref="N42:N43" si="4">SUM(B42:M42)</f>
        <v>0</v>
      </c>
    </row>
    <row r="43" spans="1:15" ht="21" customHeight="1" x14ac:dyDescent="0.35">
      <c r="A43" s="24" t="s">
        <v>73</v>
      </c>
      <c r="B43" s="25">
        <f>B41+B42</f>
        <v>0</v>
      </c>
      <c r="C43" s="25">
        <f t="shared" ref="C43:F43" si="5">C41+C42</f>
        <v>0</v>
      </c>
      <c r="D43" s="25">
        <f t="shared" si="5"/>
        <v>0</v>
      </c>
      <c r="E43" s="25">
        <f t="shared" si="5"/>
        <v>0</v>
      </c>
      <c r="F43" s="25">
        <f t="shared" si="5"/>
        <v>0</v>
      </c>
      <c r="G43" s="25">
        <f t="shared" ref="D43:M43" si="6">G41+G42</f>
        <v>0</v>
      </c>
      <c r="H43" s="25">
        <f t="shared" si="6"/>
        <v>0</v>
      </c>
      <c r="I43" s="25">
        <f t="shared" si="6"/>
        <v>0</v>
      </c>
      <c r="J43" s="25">
        <f t="shared" si="6"/>
        <v>0</v>
      </c>
      <c r="K43" s="25">
        <f t="shared" si="6"/>
        <v>0</v>
      </c>
      <c r="L43" s="25">
        <f t="shared" si="6"/>
        <v>0</v>
      </c>
      <c r="M43" s="25">
        <f t="shared" si="6"/>
        <v>0</v>
      </c>
      <c r="N43" s="80">
        <f t="shared" si="4"/>
        <v>0</v>
      </c>
    </row>
    <row r="44" spans="1:15" ht="21" customHeight="1" x14ac:dyDescent="0.3">
      <c r="A44" s="52"/>
      <c r="B44" s="53"/>
      <c r="C44" s="53"/>
      <c r="D44" s="54"/>
      <c r="E44" s="53"/>
      <c r="F44" s="53"/>
      <c r="G44" s="53"/>
      <c r="H44" s="53"/>
      <c r="I44" s="53"/>
      <c r="J44" s="53"/>
      <c r="K44" s="53"/>
      <c r="L44" s="53"/>
      <c r="M44" s="53"/>
      <c r="N44" s="53"/>
    </row>
    <row r="45" spans="1:15" ht="21" customHeight="1" x14ac:dyDescent="0.3">
      <c r="A45" s="17" t="s">
        <v>21</v>
      </c>
      <c r="B45" s="15" t="s">
        <v>1</v>
      </c>
      <c r="C45" s="15" t="s">
        <v>2</v>
      </c>
      <c r="D45" s="16" t="s">
        <v>3</v>
      </c>
      <c r="E45" s="15" t="s">
        <v>4</v>
      </c>
      <c r="F45" s="15" t="s">
        <v>5</v>
      </c>
      <c r="G45" s="15" t="s">
        <v>6</v>
      </c>
      <c r="H45" s="16" t="s">
        <v>7</v>
      </c>
      <c r="I45" s="15" t="s">
        <v>8</v>
      </c>
      <c r="J45" s="15" t="s">
        <v>9</v>
      </c>
      <c r="K45" s="15" t="s">
        <v>10</v>
      </c>
      <c r="L45" s="15" t="s">
        <v>11</v>
      </c>
      <c r="M45" s="16" t="s">
        <v>12</v>
      </c>
      <c r="N45" s="15" t="s">
        <v>13</v>
      </c>
    </row>
    <row r="46" spans="1:15" ht="21" customHeight="1" x14ac:dyDescent="0.3">
      <c r="A46" s="39" t="s">
        <v>130</v>
      </c>
      <c r="B46" s="35" t="s">
        <v>1</v>
      </c>
      <c r="C46" s="35" t="s">
        <v>2</v>
      </c>
      <c r="D46" s="36" t="s">
        <v>3</v>
      </c>
      <c r="E46" s="35" t="s">
        <v>4</v>
      </c>
      <c r="F46" s="35" t="s">
        <v>5</v>
      </c>
      <c r="G46" s="35" t="s">
        <v>6</v>
      </c>
      <c r="H46" s="35" t="s">
        <v>7</v>
      </c>
      <c r="I46" s="35" t="s">
        <v>8</v>
      </c>
      <c r="J46" s="35" t="s">
        <v>9</v>
      </c>
      <c r="K46" s="35" t="s">
        <v>10</v>
      </c>
      <c r="L46" s="35" t="s">
        <v>11</v>
      </c>
      <c r="M46" s="35" t="s">
        <v>12</v>
      </c>
      <c r="N46" s="35" t="s">
        <v>13</v>
      </c>
      <c r="O46" s="61"/>
    </row>
    <row r="47" spans="1:15" ht="21" customHeight="1" x14ac:dyDescent="0.35">
      <c r="A47" s="31" t="s">
        <v>82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65">
        <f t="shared" ref="N47:N49" si="7">SUM(B47:M47)</f>
        <v>0</v>
      </c>
      <c r="O47" s="61"/>
    </row>
    <row r="48" spans="1:15" ht="21" customHeight="1" x14ac:dyDescent="0.35">
      <c r="A48" s="41" t="s">
        <v>95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65">
        <f>SUM(B48:M48)</f>
        <v>0</v>
      </c>
      <c r="O48" s="61"/>
    </row>
    <row r="49" spans="1:15" ht="21" customHeight="1" x14ac:dyDescent="0.35">
      <c r="A49" s="31" t="s">
        <v>101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65">
        <f t="shared" si="7"/>
        <v>0</v>
      </c>
      <c r="O49" s="61"/>
    </row>
    <row r="50" spans="1:15" ht="21" customHeight="1" x14ac:dyDescent="0.35">
      <c r="A50" s="181" t="s">
        <v>16</v>
      </c>
      <c r="B50" s="182">
        <f>SUM(tblEmplPlan9[Jan])</f>
        <v>0</v>
      </c>
      <c r="C50" s="182">
        <f>SUM(tblEmplPlan9[Feb])</f>
        <v>0</v>
      </c>
      <c r="D50" s="182">
        <f>SUM(tblEmplPlan9[Mar])</f>
        <v>0</v>
      </c>
      <c r="E50" s="182">
        <f>SUM(tblEmplPlan9[Apr])</f>
        <v>0</v>
      </c>
      <c r="F50" s="182">
        <f>SUM(tblEmplPlan9[May])</f>
        <v>0</v>
      </c>
      <c r="G50" s="182">
        <f>SUM(tblEmplPlan9[Jun])</f>
        <v>0</v>
      </c>
      <c r="H50" s="182">
        <f>SUM(tblEmplPlan9[Jul])</f>
        <v>0</v>
      </c>
      <c r="I50" s="182">
        <f>SUM(tblEmplPlan9[Aug])</f>
        <v>0</v>
      </c>
      <c r="J50" s="182">
        <f>SUM(tblEmplPlan9[Sep])</f>
        <v>0</v>
      </c>
      <c r="K50" s="182">
        <f>SUM(tblEmplPlan9[Oct])</f>
        <v>0</v>
      </c>
      <c r="L50" s="182">
        <f>SUM(tblEmplPlan9[Nov])</f>
        <v>0</v>
      </c>
      <c r="M50" s="182">
        <f>SUM(tblEmplPlan9[Dec])</f>
        <v>0</v>
      </c>
      <c r="N50" s="170">
        <f>SUBTOTAL(109,tblEmplPlan9[YEAR])</f>
        <v>0</v>
      </c>
      <c r="O50" s="61"/>
    </row>
    <row r="51" spans="1:15" ht="21" customHeight="1" x14ac:dyDescent="0.3">
      <c r="A51" s="205"/>
      <c r="B51" s="205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10"/>
      <c r="O51" s="61"/>
    </row>
    <row r="52" spans="1:15" ht="21" customHeight="1" x14ac:dyDescent="0.3">
      <c r="A52" s="39" t="s">
        <v>17</v>
      </c>
      <c r="B52" s="33" t="s">
        <v>1</v>
      </c>
      <c r="C52" s="33" t="s">
        <v>2</v>
      </c>
      <c r="D52" s="34" t="s">
        <v>3</v>
      </c>
      <c r="E52" s="33" t="s">
        <v>4</v>
      </c>
      <c r="F52" s="33" t="s">
        <v>5</v>
      </c>
      <c r="G52" s="33" t="s">
        <v>6</v>
      </c>
      <c r="H52" s="33" t="s">
        <v>7</v>
      </c>
      <c r="I52" s="33" t="s">
        <v>8</v>
      </c>
      <c r="J52" s="33" t="s">
        <v>9</v>
      </c>
      <c r="K52" s="33" t="s">
        <v>10</v>
      </c>
      <c r="L52" s="33" t="s">
        <v>11</v>
      </c>
      <c r="M52" s="33" t="s">
        <v>12</v>
      </c>
      <c r="N52" s="33" t="s">
        <v>13</v>
      </c>
      <c r="O52" s="61"/>
    </row>
    <row r="53" spans="1:15" ht="21" customHeight="1" x14ac:dyDescent="0.35">
      <c r="A53" s="31" t="s">
        <v>28</v>
      </c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>
        <f t="shared" ref="N53:N71" si="8">SUM(B53:M53)</f>
        <v>0</v>
      </c>
      <c r="O53" s="61"/>
    </row>
    <row r="54" spans="1:15" ht="21" customHeight="1" x14ac:dyDescent="0.35">
      <c r="A54" s="31" t="s">
        <v>29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>
        <f t="shared" si="8"/>
        <v>0</v>
      </c>
      <c r="O54" s="61"/>
    </row>
    <row r="55" spans="1:15" ht="21" customHeight="1" x14ac:dyDescent="0.35">
      <c r="A55" s="31" t="s">
        <v>129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>
        <f t="shared" si="8"/>
        <v>0</v>
      </c>
      <c r="O55" s="61"/>
    </row>
    <row r="56" spans="1:15" ht="21" customHeight="1" x14ac:dyDescent="0.35">
      <c r="A56" s="31" t="s">
        <v>44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>
        <f t="shared" si="8"/>
        <v>0</v>
      </c>
      <c r="O56" s="61"/>
    </row>
    <row r="57" spans="1:15" ht="21" customHeight="1" x14ac:dyDescent="0.35">
      <c r="A57" s="31" t="s">
        <v>102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>
        <f t="shared" si="8"/>
        <v>0</v>
      </c>
    </row>
    <row r="58" spans="1:15" ht="21" customHeight="1" x14ac:dyDescent="0.35">
      <c r="A58" s="31" t="s">
        <v>122</v>
      </c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>
        <f>SUM(B58:M58)</f>
        <v>0</v>
      </c>
    </row>
    <row r="59" spans="1:15" ht="21" customHeight="1" x14ac:dyDescent="0.35">
      <c r="A59" s="31" t="s">
        <v>93</v>
      </c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>
        <f>SUM(B59:M59)</f>
        <v>0</v>
      </c>
    </row>
    <row r="60" spans="1:15" ht="21" customHeight="1" x14ac:dyDescent="0.35">
      <c r="A60" s="31" t="s">
        <v>45</v>
      </c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>
        <f>SUM(B60:M60)</f>
        <v>0</v>
      </c>
    </row>
    <row r="61" spans="1:15" ht="21" customHeight="1" x14ac:dyDescent="0.35">
      <c r="A61" s="31" t="s">
        <v>32</v>
      </c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>
        <f t="shared" si="8"/>
        <v>0</v>
      </c>
    </row>
    <row r="62" spans="1:15" ht="21" customHeight="1" x14ac:dyDescent="0.35">
      <c r="A62" s="31" t="s">
        <v>27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>
        <f t="shared" si="8"/>
        <v>0</v>
      </c>
    </row>
    <row r="63" spans="1:15" ht="21" customHeight="1" x14ac:dyDescent="0.35">
      <c r="A63" s="31" t="s">
        <v>33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>
        <f t="shared" ref="N63:N68" si="9">SUM(B63:M63)</f>
        <v>0</v>
      </c>
    </row>
    <row r="64" spans="1:15" ht="21" customHeight="1" x14ac:dyDescent="0.35">
      <c r="A64" s="31" t="s">
        <v>34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>
        <f t="shared" si="9"/>
        <v>0</v>
      </c>
    </row>
    <row r="65" spans="1:14" ht="21" customHeight="1" x14ac:dyDescent="0.35">
      <c r="A65" s="31" t="s">
        <v>46</v>
      </c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>
        <f t="shared" si="9"/>
        <v>0</v>
      </c>
    </row>
    <row r="66" spans="1:14" ht="21" customHeight="1" x14ac:dyDescent="0.35">
      <c r="A66" s="31" t="s">
        <v>35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>
        <f t="shared" si="9"/>
        <v>0</v>
      </c>
    </row>
    <row r="67" spans="1:14" ht="21" customHeight="1" x14ac:dyDescent="0.35">
      <c r="A67" s="31" t="s">
        <v>36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>
        <f t="shared" si="9"/>
        <v>0</v>
      </c>
    </row>
    <row r="68" spans="1:14" ht="21" customHeight="1" x14ac:dyDescent="0.35">
      <c r="A68" s="31" t="s">
        <v>37</v>
      </c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>
        <f t="shared" si="9"/>
        <v>0</v>
      </c>
    </row>
    <row r="69" spans="1:14" ht="21" customHeight="1" x14ac:dyDescent="0.35">
      <c r="A69" s="31" t="s">
        <v>51</v>
      </c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>
        <f>SUM(B69:M69)</f>
        <v>0</v>
      </c>
    </row>
    <row r="70" spans="1:14" ht="21" customHeight="1" x14ac:dyDescent="0.35">
      <c r="A70" s="31" t="s">
        <v>100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>
        <f>SUM(B70:M70)</f>
        <v>0</v>
      </c>
    </row>
    <row r="71" spans="1:14" ht="21" customHeight="1" x14ac:dyDescent="0.35">
      <c r="A71" s="31" t="s">
        <v>49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>
        <f t="shared" si="8"/>
        <v>0</v>
      </c>
    </row>
    <row r="72" spans="1:14" ht="21" customHeight="1" x14ac:dyDescent="0.35">
      <c r="A72" s="198" t="s">
        <v>16</v>
      </c>
      <c r="B72" s="65">
        <f>SUBTOTAL(109,tblOffPlan5[Jan])</f>
        <v>0</v>
      </c>
      <c r="C72" s="65">
        <f>SUBTOTAL(109,tblOffPlan5[Feb])</f>
        <v>0</v>
      </c>
      <c r="D72" s="65">
        <f>SUBTOTAL(109,tblOffPlan5[Mar])</f>
        <v>0</v>
      </c>
      <c r="E72" s="65">
        <f>SUBTOTAL(109,tblOffPlan5[Apr])</f>
        <v>0</v>
      </c>
      <c r="F72" s="65">
        <f>SUBTOTAL(109,tblOffPlan5[May])</f>
        <v>0</v>
      </c>
      <c r="G72" s="65">
        <f>SUBTOTAL(109,tblOffPlan5[Jun])</f>
        <v>0</v>
      </c>
      <c r="H72" s="65">
        <f>SUBTOTAL(109,tblOffPlan5[Jul])</f>
        <v>0</v>
      </c>
      <c r="I72" s="65">
        <f>SUBTOTAL(109,tblOffPlan5[Aug])</f>
        <v>0</v>
      </c>
      <c r="J72" s="65">
        <f>SUBTOTAL(109,tblOffPlan5[Sep])</f>
        <v>0</v>
      </c>
      <c r="K72" s="65">
        <f>SUBTOTAL(109,tblOffPlan5[Oct])</f>
        <v>0</v>
      </c>
      <c r="L72" s="65">
        <f>SUBTOTAL(109,tblOffPlan5[Nov])</f>
        <v>0</v>
      </c>
      <c r="M72" s="65">
        <f>SUBTOTAL(109,tblOffPlan5[Dec])</f>
        <v>0</v>
      </c>
      <c r="N72" s="65">
        <f>SUBTOTAL(109,tblOffPlan5[YEAR])</f>
        <v>0</v>
      </c>
    </row>
    <row r="73" spans="1:14" ht="21" customHeight="1" x14ac:dyDescent="0.3">
      <c r="A73" s="204"/>
      <c r="B73" s="204"/>
      <c r="C73" s="9"/>
      <c r="D73" s="9"/>
      <c r="E73" s="11"/>
      <c r="F73" s="11"/>
      <c r="G73" s="11"/>
      <c r="H73" s="11"/>
      <c r="I73" s="11"/>
      <c r="J73" s="11"/>
      <c r="K73" s="11"/>
      <c r="L73" s="11"/>
      <c r="M73" s="11"/>
      <c r="N73" s="10"/>
    </row>
    <row r="74" spans="1:14" ht="21" customHeight="1" x14ac:dyDescent="0.3">
      <c r="A74" s="39" t="s">
        <v>38</v>
      </c>
      <c r="B74" s="33" t="s">
        <v>1</v>
      </c>
      <c r="C74" s="33" t="s">
        <v>2</v>
      </c>
      <c r="D74" s="34" t="s">
        <v>3</v>
      </c>
      <c r="E74" s="33" t="s">
        <v>4</v>
      </c>
      <c r="F74" s="33" t="s">
        <v>5</v>
      </c>
      <c r="G74" s="33" t="s">
        <v>6</v>
      </c>
      <c r="H74" s="33" t="s">
        <v>7</v>
      </c>
      <c r="I74" s="33" t="s">
        <v>8</v>
      </c>
      <c r="J74" s="33" t="s">
        <v>9</v>
      </c>
      <c r="K74" s="33" t="s">
        <v>10</v>
      </c>
      <c r="L74" s="33" t="s">
        <v>11</v>
      </c>
      <c r="M74" s="33" t="s">
        <v>12</v>
      </c>
      <c r="N74" s="33" t="s">
        <v>13</v>
      </c>
    </row>
    <row r="75" spans="1:14" ht="21" hidden="1" customHeight="1" x14ac:dyDescent="0.35">
      <c r="A75" s="30" t="s">
        <v>94</v>
      </c>
      <c r="B75" s="65"/>
      <c r="C75" s="65"/>
      <c r="D75" s="65" t="e">
        <f>#REF!</f>
        <v>#REF!</v>
      </c>
      <c r="E75" s="65" t="e">
        <f>#REF!</f>
        <v>#REF!</v>
      </c>
      <c r="F75" s="65" t="e">
        <f>#REF!</f>
        <v>#REF!</v>
      </c>
      <c r="G75" s="65" t="e">
        <f>#REF!</f>
        <v>#REF!</v>
      </c>
      <c r="H75" s="65" t="e">
        <f>#REF!</f>
        <v>#REF!</v>
      </c>
      <c r="I75" s="65" t="e">
        <f>#REF!</f>
        <v>#REF!</v>
      </c>
      <c r="J75" s="65" t="e">
        <f>#REF!</f>
        <v>#REF!</v>
      </c>
      <c r="K75" s="65" t="e">
        <f>#REF!</f>
        <v>#REF!</v>
      </c>
      <c r="L75" s="65" t="e">
        <f>#REF!</f>
        <v>#REF!</v>
      </c>
      <c r="M75" s="65" t="e">
        <f>#REF!</f>
        <v>#REF!</v>
      </c>
      <c r="N75" s="97" t="e">
        <f>SUM(B75:M75)</f>
        <v>#REF!</v>
      </c>
    </row>
    <row r="76" spans="1:14" ht="21" customHeight="1" x14ac:dyDescent="0.35">
      <c r="A76" s="30" t="s">
        <v>125</v>
      </c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97">
        <f>SUM(B76:M76)</f>
        <v>0</v>
      </c>
    </row>
    <row r="77" spans="1:14" ht="21" customHeight="1" x14ac:dyDescent="0.35">
      <c r="A77" s="31" t="s">
        <v>39</v>
      </c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97">
        <f t="shared" ref="N77:N84" si="10">SUM(B77:M77)</f>
        <v>0</v>
      </c>
    </row>
    <row r="78" spans="1:14" ht="21" customHeight="1" x14ac:dyDescent="0.35">
      <c r="A78" s="31" t="s">
        <v>40</v>
      </c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97">
        <f t="shared" si="10"/>
        <v>0</v>
      </c>
    </row>
    <row r="79" spans="1:14" ht="21" customHeight="1" x14ac:dyDescent="0.35">
      <c r="A79" s="31" t="s">
        <v>48</v>
      </c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  <c r="N79" s="97">
        <f t="shared" si="10"/>
        <v>0</v>
      </c>
    </row>
    <row r="80" spans="1:14" ht="21" customHeight="1" x14ac:dyDescent="0.35">
      <c r="A80" s="31" t="s">
        <v>111</v>
      </c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97">
        <f t="shared" si="10"/>
        <v>0</v>
      </c>
    </row>
    <row r="81" spans="1:14" ht="9" customHeight="1" x14ac:dyDescent="0.35">
      <c r="A81" s="31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97">
        <f t="shared" si="10"/>
        <v>0</v>
      </c>
    </row>
    <row r="82" spans="1:14" ht="21" customHeight="1" x14ac:dyDescent="0.35">
      <c r="A82" s="41" t="s">
        <v>83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65"/>
      <c r="N82" s="97">
        <f t="shared" si="10"/>
        <v>0</v>
      </c>
    </row>
    <row r="83" spans="1:14" ht="21" customHeight="1" x14ac:dyDescent="0.35">
      <c r="A83" s="163" t="s">
        <v>128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65"/>
      <c r="N83" s="97">
        <f t="shared" si="10"/>
        <v>0</v>
      </c>
    </row>
    <row r="84" spans="1:14" ht="21" customHeight="1" x14ac:dyDescent="0.35">
      <c r="A84" s="41" t="s">
        <v>84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65"/>
      <c r="N84" s="97">
        <f t="shared" si="10"/>
        <v>0</v>
      </c>
    </row>
    <row r="85" spans="1:14" ht="21" customHeight="1" x14ac:dyDescent="0.35">
      <c r="A85" s="198" t="s">
        <v>16</v>
      </c>
      <c r="B85" s="65">
        <f>SUBTOTAL(109,tblMarkPlan6[Jan])</f>
        <v>0</v>
      </c>
      <c r="C85" s="65">
        <f>SUBTOTAL(109,tblMarkPlan6[Feb])</f>
        <v>0</v>
      </c>
      <c r="D85" s="65">
        <f>SUBTOTAL(109,tblMarkPlan6[Mar])</f>
        <v>0</v>
      </c>
      <c r="E85" s="65">
        <f>SUBTOTAL(109,tblMarkPlan6[Apr])</f>
        <v>0</v>
      </c>
      <c r="F85" s="65">
        <f>SUBTOTAL(109,tblMarkPlan6[May])</f>
        <v>0</v>
      </c>
      <c r="G85" s="65">
        <f>SUBTOTAL(109,tblMarkPlan6[Jun])</f>
        <v>0</v>
      </c>
      <c r="H85" s="65">
        <f>SUBTOTAL(109,tblMarkPlan6[Jul])</f>
        <v>0</v>
      </c>
      <c r="I85" s="65">
        <f>SUBTOTAL(109,tblMarkPlan6[Aug])</f>
        <v>0</v>
      </c>
      <c r="J85" s="65">
        <f>SUBTOTAL(109,tblMarkPlan6[Sep])</f>
        <v>0</v>
      </c>
      <c r="K85" s="65">
        <f>SUBTOTAL(109,tblMarkPlan6[Oct])</f>
        <v>0</v>
      </c>
      <c r="L85" s="65">
        <f>SUBTOTAL(109,tblMarkPlan6[Nov])</f>
        <v>0</v>
      </c>
      <c r="M85" s="65">
        <f>SUBTOTAL(109,tblMarkPlan6[Dec])</f>
        <v>0</v>
      </c>
      <c r="N85" s="65">
        <f>SUM(N76:N84)</f>
        <v>0</v>
      </c>
    </row>
    <row r="86" spans="1:14" ht="21" customHeight="1" x14ac:dyDescent="0.3">
      <c r="A86" s="205"/>
      <c r="B86" s="205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0"/>
    </row>
    <row r="87" spans="1:14" ht="21" customHeight="1" x14ac:dyDescent="0.3">
      <c r="A87" s="38" t="s">
        <v>43</v>
      </c>
      <c r="B87" s="27" t="s">
        <v>1</v>
      </c>
      <c r="C87" s="27" t="s">
        <v>2</v>
      </c>
      <c r="D87" s="28" t="s">
        <v>3</v>
      </c>
      <c r="E87" s="27" t="s">
        <v>4</v>
      </c>
      <c r="F87" s="27" t="s">
        <v>5</v>
      </c>
      <c r="G87" s="27" t="s">
        <v>6</v>
      </c>
      <c r="H87" s="27" t="s">
        <v>7</v>
      </c>
      <c r="I87" s="27" t="s">
        <v>8</v>
      </c>
      <c r="J87" s="27" t="s">
        <v>9</v>
      </c>
      <c r="K87" s="27" t="s">
        <v>10</v>
      </c>
      <c r="L87" s="27" t="s">
        <v>11</v>
      </c>
      <c r="M87" s="27" t="s">
        <v>12</v>
      </c>
      <c r="N87" s="29" t="s">
        <v>13</v>
      </c>
    </row>
    <row r="88" spans="1:14" ht="21" customHeight="1" x14ac:dyDescent="0.35">
      <c r="A88" s="21" t="s">
        <v>25</v>
      </c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70">
        <f>SUM(B88:M88)</f>
        <v>0</v>
      </c>
    </row>
    <row r="89" spans="1:14" ht="21" customHeight="1" x14ac:dyDescent="0.35">
      <c r="A89" s="22" t="s">
        <v>26</v>
      </c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4">
        <f>SUM(B89:M89)</f>
        <v>0</v>
      </c>
    </row>
    <row r="90" spans="1:14" ht="21" customHeight="1" x14ac:dyDescent="0.35">
      <c r="A90" s="198" t="s">
        <v>16</v>
      </c>
      <c r="B90" s="103">
        <f>SUBTOTAL(109,tblTrainPlan7[Jan])</f>
        <v>0</v>
      </c>
      <c r="C90" s="103">
        <f>SUBTOTAL(109,tblTrainPlan7[Feb])</f>
        <v>0</v>
      </c>
      <c r="D90" s="103">
        <f>SUBTOTAL(109,tblTrainPlan7[Mar])</f>
        <v>0</v>
      </c>
      <c r="E90" s="103">
        <f>SUBTOTAL(109,tblTrainPlan7[Apr])</f>
        <v>0</v>
      </c>
      <c r="F90" s="103">
        <f>SUBTOTAL(109,tblTrainPlan7[May])</f>
        <v>0</v>
      </c>
      <c r="G90" s="103">
        <f>SUBTOTAL(109,tblTrainPlan7[Jun])</f>
        <v>0</v>
      </c>
      <c r="H90" s="103">
        <f>SUBTOTAL(109,tblTrainPlan7[Jul])</f>
        <v>0</v>
      </c>
      <c r="I90" s="103">
        <f>SUBTOTAL(109,tblTrainPlan7[Aug])</f>
        <v>0</v>
      </c>
      <c r="J90" s="103">
        <f>SUBTOTAL(109,tblTrainPlan7[Sep])</f>
        <v>0</v>
      </c>
      <c r="K90" s="103">
        <f>SUBTOTAL(109,tblTrainPlan7[Oct])</f>
        <v>0</v>
      </c>
      <c r="L90" s="103">
        <f>SUBTOTAL(109,tblTrainPlan7[Nov])</f>
        <v>0</v>
      </c>
      <c r="M90" s="103">
        <f>SUBTOTAL(109,tblTrainPlan7[Dec])</f>
        <v>0</v>
      </c>
      <c r="N90" s="103">
        <f>SUBTOTAL(109,tblTrainPlan7[YEAR])</f>
        <v>0</v>
      </c>
    </row>
    <row r="91" spans="1:14" ht="21" customHeight="1" x14ac:dyDescent="0.3">
      <c r="A91" s="205"/>
      <c r="B91" s="205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21" customHeight="1" x14ac:dyDescent="0.3">
      <c r="A92" s="17" t="s">
        <v>76</v>
      </c>
      <c r="B92" s="18"/>
      <c r="C92" s="18"/>
      <c r="D92" s="19"/>
      <c r="E92" s="18"/>
      <c r="F92" s="18"/>
      <c r="G92" s="18"/>
      <c r="H92" s="18"/>
      <c r="I92" s="18"/>
      <c r="J92" s="18"/>
      <c r="K92" s="18"/>
      <c r="L92" s="18"/>
      <c r="M92" s="18"/>
      <c r="N92" s="18"/>
    </row>
    <row r="93" spans="1:14" ht="21" customHeight="1" x14ac:dyDescent="0.35">
      <c r="A93" s="24" t="s">
        <v>97</v>
      </c>
      <c r="B93" s="79">
        <f>B50+B72+B85+B90</f>
        <v>0</v>
      </c>
      <c r="C93" s="79">
        <f t="shared" ref="C93:M93" si="11">C50+C72+C85+C90</f>
        <v>0</v>
      </c>
      <c r="D93" s="79">
        <f t="shared" si="11"/>
        <v>0</v>
      </c>
      <c r="E93" s="79">
        <f t="shared" si="11"/>
        <v>0</v>
      </c>
      <c r="F93" s="79">
        <f t="shared" si="11"/>
        <v>0</v>
      </c>
      <c r="G93" s="79">
        <f t="shared" si="11"/>
        <v>0</v>
      </c>
      <c r="H93" s="79">
        <f t="shared" si="11"/>
        <v>0</v>
      </c>
      <c r="I93" s="79">
        <f t="shared" si="11"/>
        <v>0</v>
      </c>
      <c r="J93" s="79">
        <f t="shared" si="11"/>
        <v>0</v>
      </c>
      <c r="K93" s="79">
        <f t="shared" si="11"/>
        <v>0</v>
      </c>
      <c r="L93" s="79">
        <f t="shared" si="11"/>
        <v>0</v>
      </c>
      <c r="M93" s="79">
        <f t="shared" si="11"/>
        <v>0</v>
      </c>
      <c r="N93" s="79">
        <f>tblTrainPlan7[[#Totals],[YEAR]]+tblMarkPlan6[[#Totals],[YEAR]]+tblOffPlan5[[#Totals],[YEAR]]+tblEmplPlan9[[#Totals],[YEAR]]</f>
        <v>0</v>
      </c>
    </row>
    <row r="94" spans="1:14" ht="21" customHeight="1" x14ac:dyDescent="0.35">
      <c r="A94" s="24" t="s">
        <v>98</v>
      </c>
      <c r="B94" s="79">
        <f>SUM($B$93:B93)</f>
        <v>0</v>
      </c>
      <c r="C94" s="79">
        <f>SUM($B$93:C93)</f>
        <v>0</v>
      </c>
      <c r="D94" s="79">
        <f>SUM($B$93:D93)</f>
        <v>0</v>
      </c>
      <c r="E94" s="79">
        <f>SUM($B$93:E93)</f>
        <v>0</v>
      </c>
      <c r="F94" s="79">
        <f>SUM($B$93:F93)</f>
        <v>0</v>
      </c>
      <c r="G94" s="79">
        <f>SUM($B$93:G93)</f>
        <v>0</v>
      </c>
      <c r="H94" s="79">
        <f>SUM($B$93:H93)</f>
        <v>0</v>
      </c>
      <c r="I94" s="79">
        <f>SUM($B$93:I93)</f>
        <v>0</v>
      </c>
      <c r="J94" s="79">
        <f>SUM($B$93:J93)</f>
        <v>0</v>
      </c>
      <c r="K94" s="79">
        <f>SUM($B$93:K93)</f>
        <v>0</v>
      </c>
      <c r="L94" s="79">
        <f>SUM($B$93:L93)</f>
        <v>0</v>
      </c>
      <c r="M94" s="79">
        <f>SUM($B$93:M93)</f>
        <v>0</v>
      </c>
      <c r="N94" s="80"/>
    </row>
    <row r="95" spans="1:14" ht="21" customHeight="1" x14ac:dyDescent="0.3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</row>
    <row r="96" spans="1:14" ht="21" customHeight="1" x14ac:dyDescent="0.3">
      <c r="A96" s="124" t="s">
        <v>18</v>
      </c>
      <c r="B96" s="125"/>
      <c r="C96" s="125"/>
      <c r="D96" s="126"/>
      <c r="E96" s="125"/>
      <c r="F96" s="125"/>
      <c r="G96" s="125"/>
      <c r="H96" s="125"/>
      <c r="I96" s="125"/>
      <c r="J96" s="125"/>
      <c r="K96" s="125"/>
      <c r="L96" s="125"/>
      <c r="M96" s="125"/>
      <c r="N96" s="125"/>
    </row>
    <row r="97" spans="1:14" ht="21" customHeight="1" x14ac:dyDescent="0.3">
      <c r="A97" s="127" t="s">
        <v>103</v>
      </c>
      <c r="B97" s="115">
        <f>B43-B93</f>
        <v>0</v>
      </c>
      <c r="C97" s="115">
        <f t="shared" ref="C97:M97" si="12">C43-C93</f>
        <v>0</v>
      </c>
      <c r="D97" s="115">
        <f t="shared" si="12"/>
        <v>0</v>
      </c>
      <c r="E97" s="115">
        <f t="shared" si="12"/>
        <v>0</v>
      </c>
      <c r="F97" s="115">
        <f t="shared" si="12"/>
        <v>0</v>
      </c>
      <c r="G97" s="115">
        <f t="shared" si="12"/>
        <v>0</v>
      </c>
      <c r="H97" s="115">
        <f t="shared" si="12"/>
        <v>0</v>
      </c>
      <c r="I97" s="115">
        <f t="shared" si="12"/>
        <v>0</v>
      </c>
      <c r="J97" s="115">
        <f t="shared" si="12"/>
        <v>0</v>
      </c>
      <c r="K97" s="115">
        <f t="shared" si="12"/>
        <v>0</v>
      </c>
      <c r="L97" s="115">
        <f t="shared" si="12"/>
        <v>0</v>
      </c>
      <c r="M97" s="115">
        <f t="shared" si="12"/>
        <v>0</v>
      </c>
      <c r="N97" s="115">
        <f>SUM(B97:M97)</f>
        <v>0</v>
      </c>
    </row>
    <row r="98" spans="1:14" ht="21" customHeight="1" x14ac:dyDescent="0.3">
      <c r="A98" s="127" t="s">
        <v>63</v>
      </c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5">
        <f t="shared" ref="N98:N99" si="13">SUM(B98:M98)</f>
        <v>0</v>
      </c>
    </row>
    <row r="99" spans="1:14" ht="21" customHeight="1" x14ac:dyDescent="0.3">
      <c r="A99" s="128" t="s">
        <v>104</v>
      </c>
      <c r="B99" s="115">
        <f>B97-B98</f>
        <v>0</v>
      </c>
      <c r="C99" s="115">
        <f t="shared" ref="C99:M99" si="14">C97-C98</f>
        <v>0</v>
      </c>
      <c r="D99" s="115">
        <f t="shared" si="14"/>
        <v>0</v>
      </c>
      <c r="E99" s="115">
        <f t="shared" si="14"/>
        <v>0</v>
      </c>
      <c r="F99" s="115">
        <f t="shared" si="14"/>
        <v>0</v>
      </c>
      <c r="G99" s="115">
        <f t="shared" si="14"/>
        <v>0</v>
      </c>
      <c r="H99" s="115">
        <f t="shared" si="14"/>
        <v>0</v>
      </c>
      <c r="I99" s="115">
        <f t="shared" si="14"/>
        <v>0</v>
      </c>
      <c r="J99" s="115">
        <f t="shared" si="14"/>
        <v>0</v>
      </c>
      <c r="K99" s="115">
        <f t="shared" si="14"/>
        <v>0</v>
      </c>
      <c r="L99" s="115">
        <f t="shared" si="14"/>
        <v>0</v>
      </c>
      <c r="M99" s="115">
        <f t="shared" si="14"/>
        <v>0</v>
      </c>
      <c r="N99" s="115">
        <f t="shared" si="13"/>
        <v>0</v>
      </c>
    </row>
    <row r="100" spans="1:14" ht="21" customHeight="1" x14ac:dyDescent="0.3">
      <c r="A100" s="128" t="s">
        <v>142</v>
      </c>
      <c r="B100" s="115">
        <f>0.25*B99</f>
        <v>0</v>
      </c>
      <c r="C100" s="115">
        <f t="shared" ref="C100:M100" si="15">0.25*C99</f>
        <v>0</v>
      </c>
      <c r="D100" s="115">
        <f t="shared" si="15"/>
        <v>0</v>
      </c>
      <c r="E100" s="115">
        <f t="shared" si="15"/>
        <v>0</v>
      </c>
      <c r="F100" s="115">
        <f t="shared" si="15"/>
        <v>0</v>
      </c>
      <c r="G100" s="115">
        <f t="shared" si="15"/>
        <v>0</v>
      </c>
      <c r="H100" s="115">
        <f t="shared" si="15"/>
        <v>0</v>
      </c>
      <c r="I100" s="115">
        <f t="shared" si="15"/>
        <v>0</v>
      </c>
      <c r="J100" s="115">
        <f t="shared" si="15"/>
        <v>0</v>
      </c>
      <c r="K100" s="115">
        <f t="shared" si="15"/>
        <v>0</v>
      </c>
      <c r="L100" s="115">
        <f t="shared" si="15"/>
        <v>0</v>
      </c>
      <c r="M100" s="115">
        <f t="shared" si="15"/>
        <v>0</v>
      </c>
      <c r="N100" s="115"/>
    </row>
    <row r="101" spans="1:14" ht="21" customHeight="1" x14ac:dyDescent="0.3">
      <c r="A101" s="193" t="s">
        <v>141</v>
      </c>
      <c r="B101" s="200">
        <f>0.2*B99</f>
        <v>0</v>
      </c>
      <c r="C101" s="200">
        <f t="shared" ref="C101:M101" si="16">0.2*C99</f>
        <v>0</v>
      </c>
      <c r="D101" s="197">
        <f t="shared" si="16"/>
        <v>0</v>
      </c>
      <c r="E101" s="197">
        <f t="shared" si="16"/>
        <v>0</v>
      </c>
      <c r="F101" s="197">
        <f t="shared" si="16"/>
        <v>0</v>
      </c>
      <c r="G101" s="197">
        <f t="shared" si="16"/>
        <v>0</v>
      </c>
      <c r="H101" s="197">
        <f t="shared" si="16"/>
        <v>0</v>
      </c>
      <c r="I101" s="197">
        <f t="shared" si="16"/>
        <v>0</v>
      </c>
      <c r="J101" s="197">
        <f t="shared" si="16"/>
        <v>0</v>
      </c>
      <c r="K101" s="197">
        <f t="shared" si="16"/>
        <v>0</v>
      </c>
      <c r="L101" s="197">
        <f t="shared" si="16"/>
        <v>0</v>
      </c>
      <c r="M101" s="197">
        <f t="shared" si="16"/>
        <v>0</v>
      </c>
      <c r="N101" s="194">
        <f>SUM(B101:M101)</f>
        <v>0</v>
      </c>
    </row>
    <row r="102" spans="1:14" ht="21" customHeight="1" x14ac:dyDescent="0.3">
      <c r="A102" s="195" t="s">
        <v>143</v>
      </c>
      <c r="B102" s="201">
        <f>0.1*B99</f>
        <v>0</v>
      </c>
      <c r="C102" s="201">
        <f t="shared" ref="C102:M102" si="17">0.1*C99</f>
        <v>0</v>
      </c>
      <c r="D102" s="199">
        <f t="shared" si="17"/>
        <v>0</v>
      </c>
      <c r="E102" s="199">
        <f t="shared" si="17"/>
        <v>0</v>
      </c>
      <c r="F102" s="199">
        <f t="shared" si="17"/>
        <v>0</v>
      </c>
      <c r="G102" s="196">
        <f t="shared" si="17"/>
        <v>0</v>
      </c>
      <c r="H102" s="196">
        <f t="shared" si="17"/>
        <v>0</v>
      </c>
      <c r="I102" s="196">
        <f t="shared" si="17"/>
        <v>0</v>
      </c>
      <c r="J102" s="196">
        <f t="shared" si="17"/>
        <v>0</v>
      </c>
      <c r="K102" s="196">
        <f t="shared" si="17"/>
        <v>0</v>
      </c>
      <c r="L102" s="196">
        <f t="shared" si="17"/>
        <v>0</v>
      </c>
      <c r="M102" s="196">
        <f t="shared" si="17"/>
        <v>0</v>
      </c>
      <c r="N102" s="196"/>
    </row>
    <row r="103" spans="1:14" ht="21" customHeight="1" x14ac:dyDescent="0.3">
      <c r="A103" s="195" t="s">
        <v>145</v>
      </c>
      <c r="B103" s="201">
        <f>0.1*B99</f>
        <v>0</v>
      </c>
      <c r="C103" s="201">
        <f t="shared" ref="C103:M103" si="18">0.1*C99</f>
        <v>0</v>
      </c>
      <c r="D103" s="199">
        <f t="shared" si="18"/>
        <v>0</v>
      </c>
      <c r="E103" s="199">
        <f t="shared" si="18"/>
        <v>0</v>
      </c>
      <c r="F103" s="199">
        <f t="shared" si="18"/>
        <v>0</v>
      </c>
      <c r="G103" s="196">
        <f t="shared" si="18"/>
        <v>0</v>
      </c>
      <c r="H103" s="196">
        <f t="shared" si="18"/>
        <v>0</v>
      </c>
      <c r="I103" s="196">
        <f t="shared" si="18"/>
        <v>0</v>
      </c>
      <c r="J103" s="196">
        <f t="shared" si="18"/>
        <v>0</v>
      </c>
      <c r="K103" s="196">
        <f t="shared" si="18"/>
        <v>0</v>
      </c>
      <c r="L103" s="196">
        <f t="shared" si="18"/>
        <v>0</v>
      </c>
      <c r="M103" s="196">
        <f t="shared" si="18"/>
        <v>0</v>
      </c>
      <c r="N103" s="196"/>
    </row>
    <row r="104" spans="1:14" ht="21" customHeight="1" x14ac:dyDescent="0.3">
      <c r="A104" s="195" t="s">
        <v>144</v>
      </c>
      <c r="B104" s="201">
        <f>0.35*B99</f>
        <v>0</v>
      </c>
      <c r="C104" s="201">
        <f t="shared" ref="C104:M104" si="19">0.35*C99</f>
        <v>0</v>
      </c>
      <c r="D104" s="199">
        <f t="shared" si="19"/>
        <v>0</v>
      </c>
      <c r="E104" s="199">
        <f t="shared" si="19"/>
        <v>0</v>
      </c>
      <c r="F104" s="199">
        <f t="shared" si="19"/>
        <v>0</v>
      </c>
      <c r="G104" s="196">
        <f t="shared" si="19"/>
        <v>0</v>
      </c>
      <c r="H104" s="196">
        <f t="shared" si="19"/>
        <v>0</v>
      </c>
      <c r="I104" s="196">
        <f t="shared" si="19"/>
        <v>0</v>
      </c>
      <c r="J104" s="196">
        <f t="shared" si="19"/>
        <v>0</v>
      </c>
      <c r="K104" s="196">
        <f t="shared" si="19"/>
        <v>0</v>
      </c>
      <c r="L104" s="196">
        <f t="shared" si="19"/>
        <v>0</v>
      </c>
      <c r="M104" s="196">
        <f t="shared" si="19"/>
        <v>0</v>
      </c>
      <c r="N104" s="196"/>
    </row>
    <row r="105" spans="1:14" ht="21" customHeight="1" x14ac:dyDescent="0.35">
      <c r="A105" s="44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45"/>
    </row>
    <row r="106" spans="1:14" ht="21" customHeight="1" x14ac:dyDescent="0.3">
      <c r="A106" s="55" t="s">
        <v>85</v>
      </c>
      <c r="B106" s="56"/>
      <c r="C106" s="56"/>
      <c r="D106" s="57"/>
      <c r="E106" s="56"/>
      <c r="F106" s="56"/>
      <c r="G106" s="56"/>
      <c r="H106" s="56"/>
      <c r="I106" s="56"/>
      <c r="J106" s="56"/>
      <c r="K106" s="56"/>
      <c r="L106" s="56"/>
      <c r="M106" s="56"/>
      <c r="N106" s="56"/>
    </row>
    <row r="107" spans="1:14" ht="21" customHeight="1" x14ac:dyDescent="0.35">
      <c r="A107" s="24" t="s">
        <v>86</v>
      </c>
      <c r="B107" s="79">
        <f t="shared" ref="B107:M107" si="20">B11+B12-B27-B34</f>
        <v>0</v>
      </c>
      <c r="C107" s="79">
        <f t="shared" si="20"/>
        <v>0</v>
      </c>
      <c r="D107" s="79">
        <f t="shared" si="20"/>
        <v>0</v>
      </c>
      <c r="E107" s="79">
        <f t="shared" si="20"/>
        <v>0</v>
      </c>
      <c r="F107" s="79">
        <f t="shared" si="20"/>
        <v>0</v>
      </c>
      <c r="G107" s="79">
        <f t="shared" si="20"/>
        <v>0</v>
      </c>
      <c r="H107" s="79">
        <f t="shared" si="20"/>
        <v>0</v>
      </c>
      <c r="I107" s="79">
        <f t="shared" si="20"/>
        <v>0</v>
      </c>
      <c r="J107" s="79">
        <f t="shared" si="20"/>
        <v>0</v>
      </c>
      <c r="K107" s="79">
        <f t="shared" si="20"/>
        <v>0</v>
      </c>
      <c r="L107" s="79">
        <f t="shared" si="20"/>
        <v>0</v>
      </c>
      <c r="M107" s="79">
        <f t="shared" si="20"/>
        <v>0</v>
      </c>
      <c r="N107" s="79">
        <f t="shared" ref="N107:N112" si="21">SUM(B107:M107)</f>
        <v>0</v>
      </c>
    </row>
    <row r="108" spans="1:14" ht="21" customHeight="1" x14ac:dyDescent="0.35">
      <c r="A108" s="24" t="s">
        <v>88</v>
      </c>
      <c r="B108" s="79">
        <f t="shared" ref="B108:M108" si="22">B16-B30-B35</f>
        <v>0</v>
      </c>
      <c r="C108" s="79">
        <f t="shared" si="22"/>
        <v>0</v>
      </c>
      <c r="D108" s="79">
        <f t="shared" si="22"/>
        <v>0</v>
      </c>
      <c r="E108" s="79">
        <f t="shared" si="22"/>
        <v>0</v>
      </c>
      <c r="F108" s="79">
        <f t="shared" si="22"/>
        <v>0</v>
      </c>
      <c r="G108" s="79">
        <f t="shared" si="22"/>
        <v>0</v>
      </c>
      <c r="H108" s="79">
        <f t="shared" si="22"/>
        <v>0</v>
      </c>
      <c r="I108" s="79">
        <f t="shared" si="22"/>
        <v>0</v>
      </c>
      <c r="J108" s="79">
        <f t="shared" si="22"/>
        <v>0</v>
      </c>
      <c r="K108" s="79">
        <f t="shared" si="22"/>
        <v>0</v>
      </c>
      <c r="L108" s="79">
        <f t="shared" si="22"/>
        <v>0</v>
      </c>
      <c r="M108" s="79">
        <f t="shared" si="22"/>
        <v>0</v>
      </c>
      <c r="N108" s="79">
        <f t="shared" si="21"/>
        <v>0</v>
      </c>
    </row>
    <row r="109" spans="1:14" ht="21" hidden="1" customHeight="1" x14ac:dyDescent="0.35">
      <c r="A109" s="24" t="s">
        <v>89</v>
      </c>
      <c r="B109" s="79" t="e">
        <f>B17-B31-#REF!</f>
        <v>#REF!</v>
      </c>
      <c r="C109" s="79" t="e">
        <f>C17-C31-#REF!</f>
        <v>#REF!</v>
      </c>
      <c r="D109" s="79" t="e">
        <f>D17-D31-#REF!</f>
        <v>#REF!</v>
      </c>
      <c r="E109" s="79" t="e">
        <f>E17-E31-#REF!</f>
        <v>#REF!</v>
      </c>
      <c r="F109" s="79" t="e">
        <f>F17-F31-#REF!</f>
        <v>#REF!</v>
      </c>
      <c r="G109" s="79" t="e">
        <f>G17-G31-#REF!</f>
        <v>#REF!</v>
      </c>
      <c r="H109" s="79" t="e">
        <f>H17-H31-#REF!</f>
        <v>#REF!</v>
      </c>
      <c r="I109" s="79" t="e">
        <f>I17-I31-#REF!</f>
        <v>#REF!</v>
      </c>
      <c r="J109" s="79" t="e">
        <f>J17-J31-#REF!</f>
        <v>#REF!</v>
      </c>
      <c r="K109" s="79" t="e">
        <f>K17-K31-#REF!</f>
        <v>#REF!</v>
      </c>
      <c r="L109" s="79" t="e">
        <f>L17-L31-#REF!</f>
        <v>#REF!</v>
      </c>
      <c r="M109" s="79" t="e">
        <f>M17-M31-#REF!</f>
        <v>#REF!</v>
      </c>
      <c r="N109" s="79" t="e">
        <f t="shared" si="21"/>
        <v>#REF!</v>
      </c>
    </row>
    <row r="110" spans="1:14" ht="21" customHeight="1" x14ac:dyDescent="0.35">
      <c r="A110" s="24" t="s">
        <v>87</v>
      </c>
      <c r="B110" s="79">
        <f t="shared" ref="B110:M110" si="23">B13-B28-B37</f>
        <v>0</v>
      </c>
      <c r="C110" s="79">
        <f t="shared" si="23"/>
        <v>0</v>
      </c>
      <c r="D110" s="79">
        <f t="shared" si="23"/>
        <v>0</v>
      </c>
      <c r="E110" s="79">
        <f t="shared" si="23"/>
        <v>0</v>
      </c>
      <c r="F110" s="79">
        <f t="shared" si="23"/>
        <v>0</v>
      </c>
      <c r="G110" s="79">
        <f t="shared" si="23"/>
        <v>0</v>
      </c>
      <c r="H110" s="79">
        <f t="shared" si="23"/>
        <v>0</v>
      </c>
      <c r="I110" s="79">
        <f t="shared" si="23"/>
        <v>0</v>
      </c>
      <c r="J110" s="79">
        <f t="shared" si="23"/>
        <v>0</v>
      </c>
      <c r="K110" s="79">
        <f t="shared" si="23"/>
        <v>0</v>
      </c>
      <c r="L110" s="79">
        <f t="shared" si="23"/>
        <v>0</v>
      </c>
      <c r="M110" s="79">
        <f t="shared" si="23"/>
        <v>0</v>
      </c>
      <c r="N110" s="79">
        <f t="shared" si="21"/>
        <v>0</v>
      </c>
    </row>
    <row r="111" spans="1:14" ht="21" customHeight="1" x14ac:dyDescent="0.35">
      <c r="A111" s="24" t="s">
        <v>138</v>
      </c>
      <c r="B111" s="79">
        <f>B14+B15-B29-B36</f>
        <v>0</v>
      </c>
      <c r="C111" s="79">
        <f t="shared" ref="C111:M111" si="24">C14+C15-C29-C36</f>
        <v>0</v>
      </c>
      <c r="D111" s="79">
        <f t="shared" si="24"/>
        <v>0</v>
      </c>
      <c r="E111" s="79">
        <f t="shared" si="24"/>
        <v>0</v>
      </c>
      <c r="F111" s="79">
        <f t="shared" si="24"/>
        <v>0</v>
      </c>
      <c r="G111" s="79">
        <f t="shared" si="24"/>
        <v>0</v>
      </c>
      <c r="H111" s="79">
        <f t="shared" si="24"/>
        <v>0</v>
      </c>
      <c r="I111" s="79">
        <f t="shared" si="24"/>
        <v>0</v>
      </c>
      <c r="J111" s="79">
        <f t="shared" si="24"/>
        <v>0</v>
      </c>
      <c r="K111" s="79">
        <f t="shared" si="24"/>
        <v>0</v>
      </c>
      <c r="L111" s="79">
        <f t="shared" si="24"/>
        <v>0</v>
      </c>
      <c r="M111" s="79">
        <f t="shared" si="24"/>
        <v>0</v>
      </c>
      <c r="N111" s="79">
        <f t="shared" si="21"/>
        <v>0</v>
      </c>
    </row>
    <row r="112" spans="1:14" ht="21" customHeight="1" x14ac:dyDescent="0.35">
      <c r="A112" s="24" t="s">
        <v>90</v>
      </c>
      <c r="B112" s="111">
        <f>tblEmplPlan1417[[#Totals],[Jan]]-B25-B26</f>
        <v>0</v>
      </c>
      <c r="C112" s="111">
        <f>tblEmplPlan1417[[#Totals],[Feb]]-C25-C26</f>
        <v>0</v>
      </c>
      <c r="D112" s="111">
        <f>tblEmplPlan1417[[#Totals],[Mar]]-D25-D26</f>
        <v>0</v>
      </c>
      <c r="E112" s="111">
        <f>tblEmplPlan1417[[#Totals],[Apr]]-E25-E26</f>
        <v>0</v>
      </c>
      <c r="F112" s="111">
        <f>tblEmplPlan1417[[#Totals],[May]]-F25-F26</f>
        <v>0</v>
      </c>
      <c r="G112" s="111">
        <f>tblEmplPlan1417[[#Totals],[Jun]]-G25-G26</f>
        <v>0</v>
      </c>
      <c r="H112" s="111">
        <f>tblEmplPlan1417[[#Totals],[Jul]]-H25-H26</f>
        <v>0</v>
      </c>
      <c r="I112" s="111">
        <f>tblEmplPlan1417[[#Totals],[Aug]]-I25-I26</f>
        <v>0</v>
      </c>
      <c r="J112" s="111">
        <f>tblEmplPlan1417[[#Totals],[Sep]]-J25-J26</f>
        <v>0</v>
      </c>
      <c r="K112" s="111">
        <f>tblEmplPlan1417[[#Totals],[Oct]]-K25-K26</f>
        <v>0</v>
      </c>
      <c r="L112" s="111">
        <f>tblEmplPlan1417[[#Totals],[Nov]]-L25-L26</f>
        <v>0</v>
      </c>
      <c r="M112" s="111">
        <f>tblEmplPlan1417[[#Totals],[Dec]]-M25-M26</f>
        <v>0</v>
      </c>
      <c r="N112" s="79">
        <f t="shared" si="21"/>
        <v>0</v>
      </c>
    </row>
    <row r="114" spans="1:14" ht="21" customHeight="1" x14ac:dyDescent="0.3">
      <c r="A114" s="191" t="s">
        <v>139</v>
      </c>
      <c r="B114" s="192" t="e">
        <f>#REF!</f>
        <v>#REF!</v>
      </c>
      <c r="C114" s="192" t="e">
        <f>#REF!</f>
        <v>#REF!</v>
      </c>
      <c r="D114" s="192" t="e">
        <f>#REF!</f>
        <v>#REF!</v>
      </c>
      <c r="E114" s="192" t="e">
        <f>#REF!</f>
        <v>#REF!</v>
      </c>
      <c r="F114" s="192" t="e">
        <f>#REF!</f>
        <v>#REF!</v>
      </c>
      <c r="G114" s="192" t="e">
        <f>#REF!</f>
        <v>#REF!</v>
      </c>
      <c r="H114" s="192" t="e">
        <f>#REF!</f>
        <v>#REF!</v>
      </c>
      <c r="I114" s="192" t="e">
        <f>#REF!</f>
        <v>#REF!</v>
      </c>
      <c r="J114" s="192" t="e">
        <f>#REF!</f>
        <v>#REF!</v>
      </c>
      <c r="K114" s="192" t="e">
        <f>#REF!</f>
        <v>#REF!</v>
      </c>
      <c r="L114" s="192" t="e">
        <f>#REF!</f>
        <v>#REF!</v>
      </c>
      <c r="M114" s="192" t="e">
        <f>#REF!</f>
        <v>#REF!</v>
      </c>
      <c r="N114" s="192" t="e">
        <f>SUM(B114:M114)</f>
        <v>#REF!</v>
      </c>
    </row>
    <row r="116" spans="1:14" ht="21" customHeight="1" x14ac:dyDescent="0.3">
      <c r="A116" s="61"/>
      <c r="B116" s="61"/>
      <c r="C116" s="61"/>
      <c r="D116" s="61"/>
      <c r="E116" s="61"/>
      <c r="F116" s="61"/>
      <c r="G116" s="61"/>
    </row>
    <row r="117" spans="1:14" ht="21" customHeight="1" x14ac:dyDescent="0.3">
      <c r="A117" s="210"/>
      <c r="B117" s="211"/>
      <c r="C117" s="211"/>
      <c r="D117" s="211"/>
      <c r="E117" s="211"/>
      <c r="F117" s="211"/>
      <c r="G117" s="61"/>
    </row>
    <row r="118" spans="1:14" ht="21" customHeight="1" x14ac:dyDescent="0.3">
      <c r="A118" s="212"/>
      <c r="B118" s="211"/>
      <c r="C118" s="211"/>
      <c r="D118" s="211"/>
      <c r="E118" s="211"/>
      <c r="F118" s="211"/>
      <c r="G118" s="61"/>
    </row>
    <row r="119" spans="1:14" ht="21" customHeight="1" x14ac:dyDescent="0.35">
      <c r="A119" s="64"/>
      <c r="B119" s="206"/>
      <c r="C119" s="206"/>
      <c r="D119" s="206"/>
      <c r="E119" s="206"/>
      <c r="F119" s="206"/>
      <c r="G119" s="61"/>
    </row>
    <row r="120" spans="1:14" ht="21" customHeight="1" x14ac:dyDescent="0.35">
      <c r="A120" s="64"/>
      <c r="B120" s="206"/>
      <c r="C120" s="206"/>
      <c r="D120" s="206"/>
      <c r="E120" s="206"/>
      <c r="F120" s="206"/>
      <c r="G120" s="61"/>
    </row>
    <row r="121" spans="1:14" ht="21" customHeight="1" x14ac:dyDescent="0.35">
      <c r="A121" s="64"/>
      <c r="B121" s="206"/>
      <c r="C121" s="206"/>
      <c r="D121" s="206"/>
      <c r="E121" s="206"/>
      <c r="F121" s="206"/>
      <c r="G121" s="61"/>
    </row>
    <row r="122" spans="1:14" ht="21" customHeight="1" x14ac:dyDescent="0.35">
      <c r="A122" s="64"/>
      <c r="B122" s="206"/>
      <c r="C122" s="206"/>
      <c r="D122" s="206"/>
      <c r="E122" s="206"/>
      <c r="F122" s="206"/>
      <c r="G122" s="61"/>
    </row>
    <row r="123" spans="1:14" ht="21" customHeight="1" x14ac:dyDescent="0.35">
      <c r="A123" s="64"/>
      <c r="B123" s="206"/>
      <c r="C123" s="206"/>
      <c r="D123" s="206"/>
      <c r="E123" s="206"/>
      <c r="F123" s="206"/>
      <c r="G123" s="61"/>
    </row>
    <row r="124" spans="1:14" ht="21" customHeight="1" x14ac:dyDescent="0.35">
      <c r="A124" s="64"/>
      <c r="B124" s="206"/>
      <c r="C124" s="206"/>
      <c r="D124" s="206"/>
      <c r="E124" s="206"/>
      <c r="F124" s="206"/>
      <c r="G124" s="61"/>
    </row>
    <row r="125" spans="1:14" ht="21" customHeight="1" x14ac:dyDescent="0.35">
      <c r="A125" s="64"/>
      <c r="B125" s="206"/>
      <c r="C125" s="206"/>
      <c r="D125" s="206"/>
      <c r="E125" s="206"/>
      <c r="F125" s="206"/>
      <c r="G125" s="61"/>
    </row>
    <row r="126" spans="1:14" ht="21" customHeight="1" x14ac:dyDescent="0.35">
      <c r="A126" s="64"/>
      <c r="B126" s="206"/>
      <c r="C126" s="206"/>
      <c r="D126" s="206"/>
      <c r="E126" s="206"/>
      <c r="F126" s="206"/>
      <c r="G126" s="61"/>
    </row>
    <row r="127" spans="1:14" ht="21" customHeight="1" x14ac:dyDescent="0.35">
      <c r="A127" s="64"/>
      <c r="B127" s="206"/>
      <c r="C127" s="206"/>
      <c r="D127" s="206"/>
      <c r="E127" s="206"/>
      <c r="F127" s="206"/>
      <c r="G127" s="61"/>
    </row>
    <row r="128" spans="1:14" ht="21" customHeight="1" x14ac:dyDescent="0.35">
      <c r="A128" s="64"/>
      <c r="B128" s="206"/>
      <c r="C128" s="206"/>
      <c r="D128" s="206"/>
      <c r="E128" s="206"/>
      <c r="F128" s="206"/>
      <c r="G128" s="61"/>
    </row>
    <row r="129" spans="1:7" ht="21" customHeight="1" x14ac:dyDescent="0.35">
      <c r="A129" s="64"/>
      <c r="B129" s="206"/>
      <c r="C129" s="206"/>
      <c r="D129" s="206"/>
      <c r="E129" s="206"/>
      <c r="F129" s="206"/>
      <c r="G129" s="61"/>
    </row>
    <row r="130" spans="1:7" ht="21" customHeight="1" x14ac:dyDescent="0.35">
      <c r="A130" s="64"/>
      <c r="B130" s="206"/>
      <c r="C130" s="206"/>
      <c r="D130" s="206"/>
      <c r="E130" s="206"/>
      <c r="F130" s="206"/>
      <c r="G130" s="61"/>
    </row>
    <row r="131" spans="1:7" ht="21" customHeight="1" x14ac:dyDescent="0.35">
      <c r="A131" s="64"/>
      <c r="B131" s="206"/>
      <c r="C131" s="206"/>
      <c r="D131" s="206"/>
      <c r="E131" s="206"/>
      <c r="F131" s="206"/>
      <c r="G131" s="61"/>
    </row>
    <row r="132" spans="1:7" ht="21" customHeight="1" x14ac:dyDescent="0.35">
      <c r="A132" s="64"/>
      <c r="B132" s="206"/>
      <c r="C132" s="206"/>
      <c r="D132" s="206"/>
      <c r="E132" s="206"/>
      <c r="F132" s="206"/>
      <c r="G132" s="61"/>
    </row>
    <row r="133" spans="1:7" ht="21" customHeight="1" x14ac:dyDescent="0.35">
      <c r="A133" s="64"/>
      <c r="B133" s="206"/>
      <c r="C133" s="206"/>
      <c r="D133" s="206"/>
      <c r="E133" s="206"/>
      <c r="F133" s="206"/>
      <c r="G133" s="61"/>
    </row>
    <row r="134" spans="1:7" ht="21" customHeight="1" x14ac:dyDescent="0.35">
      <c r="A134" s="64"/>
      <c r="B134" s="206"/>
      <c r="C134" s="206"/>
      <c r="D134" s="206"/>
      <c r="E134" s="206"/>
      <c r="F134" s="206"/>
      <c r="G134" s="61"/>
    </row>
    <row r="135" spans="1:7" ht="21" customHeight="1" x14ac:dyDescent="0.35">
      <c r="A135" s="64"/>
      <c r="B135" s="206"/>
      <c r="C135" s="206"/>
      <c r="D135" s="206"/>
      <c r="E135" s="206"/>
      <c r="F135" s="206"/>
      <c r="G135" s="61"/>
    </row>
    <row r="136" spans="1:7" ht="21" customHeight="1" x14ac:dyDescent="0.35">
      <c r="A136" s="64"/>
      <c r="B136" s="206"/>
      <c r="C136" s="206"/>
      <c r="D136" s="206"/>
      <c r="E136" s="206"/>
      <c r="F136" s="206"/>
      <c r="G136" s="61"/>
    </row>
    <row r="137" spans="1:7" ht="21" customHeight="1" x14ac:dyDescent="0.35">
      <c r="A137" s="213"/>
      <c r="B137" s="206"/>
      <c r="C137" s="206"/>
      <c r="D137" s="206"/>
      <c r="E137" s="206"/>
      <c r="F137" s="206"/>
      <c r="G137" s="61"/>
    </row>
    <row r="138" spans="1:7" ht="21" customHeight="1" x14ac:dyDescent="0.35">
      <c r="A138" s="214"/>
      <c r="B138" s="206"/>
      <c r="C138" s="206"/>
      <c r="D138" s="206"/>
      <c r="E138" s="206"/>
      <c r="F138" s="206"/>
      <c r="G138" s="61"/>
    </row>
    <row r="139" spans="1:7" ht="21" customHeight="1" x14ac:dyDescent="0.35">
      <c r="A139" s="214"/>
      <c r="B139" s="206"/>
      <c r="C139" s="206"/>
      <c r="D139" s="206"/>
      <c r="E139" s="206"/>
      <c r="F139" s="206"/>
      <c r="G139" s="61"/>
    </row>
    <row r="140" spans="1:7" ht="21" customHeight="1" x14ac:dyDescent="0.35">
      <c r="A140" s="64"/>
      <c r="B140" s="206"/>
      <c r="C140" s="206"/>
      <c r="D140" s="206"/>
      <c r="E140" s="206"/>
      <c r="F140" s="206"/>
      <c r="G140" s="61"/>
    </row>
    <row r="141" spans="1:7" ht="21" customHeight="1" x14ac:dyDescent="0.35">
      <c r="A141" s="64"/>
      <c r="B141" s="206"/>
      <c r="C141" s="206"/>
      <c r="D141" s="206"/>
      <c r="E141" s="206"/>
      <c r="F141" s="206"/>
      <c r="G141" s="61"/>
    </row>
    <row r="142" spans="1:7" ht="21" customHeight="1" x14ac:dyDescent="0.35">
      <c r="A142" s="64"/>
      <c r="B142" s="206"/>
      <c r="C142" s="206"/>
      <c r="D142" s="206"/>
      <c r="E142" s="206"/>
      <c r="F142" s="206"/>
      <c r="G142" s="61"/>
    </row>
    <row r="143" spans="1:7" ht="21" customHeight="1" x14ac:dyDescent="0.35">
      <c r="A143" s="64"/>
      <c r="B143" s="206"/>
      <c r="C143" s="206"/>
      <c r="D143" s="206"/>
      <c r="E143" s="206"/>
      <c r="F143" s="206"/>
      <c r="G143" s="61"/>
    </row>
    <row r="144" spans="1:7" ht="21" customHeight="1" x14ac:dyDescent="0.35">
      <c r="A144" s="64"/>
      <c r="B144" s="206"/>
      <c r="C144" s="206"/>
      <c r="D144" s="206"/>
      <c r="E144" s="206"/>
      <c r="F144" s="206"/>
      <c r="G144" s="61"/>
    </row>
    <row r="145" spans="1:7" ht="21" customHeight="1" x14ac:dyDescent="0.35">
      <c r="A145" s="64"/>
      <c r="B145" s="206"/>
      <c r="C145" s="206"/>
      <c r="D145" s="206"/>
      <c r="E145" s="206"/>
      <c r="F145" s="61"/>
      <c r="G145" s="61"/>
    </row>
    <row r="146" spans="1:7" ht="21" customHeight="1" x14ac:dyDescent="0.35">
      <c r="A146" s="64"/>
      <c r="B146" s="206"/>
      <c r="C146" s="206"/>
      <c r="D146" s="206"/>
      <c r="E146" s="206"/>
      <c r="F146" s="61"/>
      <c r="G146" s="61"/>
    </row>
    <row r="147" spans="1:7" ht="21" customHeight="1" x14ac:dyDescent="0.35">
      <c r="A147" s="64"/>
      <c r="B147" s="206"/>
      <c r="C147" s="206"/>
      <c r="D147" s="206"/>
      <c r="E147" s="206"/>
      <c r="F147" s="61"/>
      <c r="G147" s="61"/>
    </row>
    <row r="148" spans="1:7" ht="21" customHeight="1" x14ac:dyDescent="0.3">
      <c r="A148" s="61"/>
      <c r="B148" s="61"/>
      <c r="C148" s="61"/>
      <c r="D148" s="61"/>
      <c r="E148" s="61"/>
      <c r="F148" s="61"/>
      <c r="G148" s="61"/>
    </row>
    <row r="149" spans="1:7" ht="21" customHeight="1" x14ac:dyDescent="0.3">
      <c r="A149" s="61"/>
      <c r="B149" s="61"/>
      <c r="C149" s="61"/>
      <c r="D149" s="61"/>
      <c r="E149" s="61"/>
      <c r="F149" s="61"/>
      <c r="G149" s="61"/>
    </row>
    <row r="150" spans="1:7" ht="21" customHeight="1" x14ac:dyDescent="0.3">
      <c r="A150" s="61"/>
      <c r="B150" s="61"/>
      <c r="C150" s="61"/>
      <c r="D150" s="61"/>
      <c r="E150" s="61"/>
      <c r="F150" s="61"/>
      <c r="G150" s="61"/>
    </row>
    <row r="151" spans="1:7" ht="21" customHeight="1" x14ac:dyDescent="0.3">
      <c r="A151" s="61"/>
      <c r="B151" s="61"/>
      <c r="C151" s="61"/>
      <c r="D151" s="61"/>
      <c r="E151" s="61"/>
      <c r="F151" s="61"/>
      <c r="G151" s="61"/>
    </row>
  </sheetData>
  <mergeCells count="35">
    <mergeCell ref="B133:F133"/>
    <mergeCell ref="B134:F134"/>
    <mergeCell ref="B146:E146"/>
    <mergeCell ref="B147:E147"/>
    <mergeCell ref="B145:E145"/>
    <mergeCell ref="B135:F135"/>
    <mergeCell ref="B136:F136"/>
    <mergeCell ref="B137:F137"/>
    <mergeCell ref="B138:F138"/>
    <mergeCell ref="B139:F139"/>
    <mergeCell ref="B140:F140"/>
    <mergeCell ref="B141:F141"/>
    <mergeCell ref="B142:F142"/>
    <mergeCell ref="B143:F143"/>
    <mergeCell ref="B144:F144"/>
    <mergeCell ref="B128:F128"/>
    <mergeCell ref="B129:F129"/>
    <mergeCell ref="B130:F130"/>
    <mergeCell ref="B131:F131"/>
    <mergeCell ref="B132:F132"/>
    <mergeCell ref="B118:F118"/>
    <mergeCell ref="B119:F119"/>
    <mergeCell ref="B125:F125"/>
    <mergeCell ref="B126:F126"/>
    <mergeCell ref="B127:F127"/>
    <mergeCell ref="B120:F120"/>
    <mergeCell ref="B121:F121"/>
    <mergeCell ref="B122:F122"/>
    <mergeCell ref="B123:F123"/>
    <mergeCell ref="B124:F124"/>
    <mergeCell ref="A73:B73"/>
    <mergeCell ref="A86:B86"/>
    <mergeCell ref="A91:B91"/>
    <mergeCell ref="A51:B51"/>
    <mergeCell ref="B117:F117"/>
  </mergeCells>
  <printOptions horizontalCentered="1"/>
  <pageMargins left="0.25" right="0.25" top="0.25" bottom="0.25" header="0.3" footer="0.3"/>
  <pageSetup paperSize="288" scale="67" orientation="portrait" r:id="rId1"/>
  <headerFooter differentFirst="1">
    <oddFooter>Page &amp;P of &amp;N</oddFooter>
  </headerFooter>
  <tableParts count="7">
    <tablePart r:id="rId2"/>
    <tablePart r:id="rId3"/>
    <tablePart r:id="rId4"/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theme="7"/>
    <pageSetUpPr autoPageBreaks="0" fitToPage="1"/>
  </sheetPr>
  <dimension ref="B1:O106"/>
  <sheetViews>
    <sheetView showGridLines="0" topLeftCell="A37" zoomScale="90" zoomScaleNormal="90" workbookViewId="0">
      <selection activeCell="C52" sqref="C52"/>
    </sheetView>
  </sheetViews>
  <sheetFormatPr defaultColWidth="9.33203125" defaultRowHeight="21" customHeight="1" x14ac:dyDescent="0.3"/>
  <cols>
    <col min="1" max="1" width="2" style="12" customWidth="1"/>
    <col min="2" max="2" width="45.5" style="12" bestFit="1" customWidth="1"/>
    <col min="3" max="3" width="13.6640625" style="12" customWidth="1"/>
    <col min="4" max="4" width="15.83203125" style="12" customWidth="1"/>
    <col min="5" max="9" width="14.5" style="12" bestFit="1" customWidth="1"/>
    <col min="10" max="15" width="15.6640625" style="12" bestFit="1" customWidth="1"/>
    <col min="16" max="16384" width="9.33203125" style="12"/>
  </cols>
  <sheetData>
    <row r="1" spans="2:15" ht="9.9499999999999993" customHeight="1" x14ac:dyDescent="0.3">
      <c r="N1" s="1"/>
      <c r="O1" s="1"/>
    </row>
    <row r="2" spans="2:15" ht="27" x14ac:dyDescent="0.35">
      <c r="B2" s="20"/>
      <c r="C2" s="20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18.75" x14ac:dyDescent="0.3">
      <c r="B3" s="14" t="s">
        <v>22</v>
      </c>
      <c r="C3" s="4"/>
      <c r="D3" s="4"/>
      <c r="E3" s="5"/>
      <c r="F3" s="4"/>
      <c r="G3" s="4"/>
      <c r="H3" s="4"/>
      <c r="I3" s="4"/>
      <c r="J3" s="4"/>
      <c r="K3" s="4"/>
      <c r="L3" s="4"/>
      <c r="M3" s="4"/>
      <c r="N3" s="4"/>
      <c r="O3" s="4"/>
    </row>
    <row r="4" spans="2:15" ht="15" customHeight="1" x14ac:dyDescent="0.3">
      <c r="B4" s="26" t="s">
        <v>24</v>
      </c>
      <c r="C4" s="6"/>
      <c r="D4" s="6"/>
      <c r="E4" s="7"/>
      <c r="F4" s="6"/>
      <c r="G4" s="6"/>
      <c r="H4" s="6"/>
      <c r="I4" s="6"/>
      <c r="J4" s="6"/>
      <c r="K4" s="6"/>
      <c r="L4" s="6"/>
      <c r="M4" s="6"/>
      <c r="N4" s="6"/>
      <c r="O4" s="6"/>
    </row>
    <row r="5" spans="2:15" s="1" customFormat="1" ht="21" customHeight="1" x14ac:dyDescent="0.3">
      <c r="B5" s="17" t="s">
        <v>96</v>
      </c>
      <c r="C5" s="15" t="s">
        <v>1</v>
      </c>
      <c r="D5" s="15" t="s">
        <v>2</v>
      </c>
      <c r="E5" s="16" t="s">
        <v>3</v>
      </c>
      <c r="F5" s="15" t="s">
        <v>4</v>
      </c>
      <c r="G5" s="15" t="s">
        <v>5</v>
      </c>
      <c r="H5" s="15" t="s">
        <v>6</v>
      </c>
      <c r="I5" s="16" t="s">
        <v>7</v>
      </c>
      <c r="J5" s="15" t="s">
        <v>8</v>
      </c>
      <c r="K5" s="15" t="s">
        <v>9</v>
      </c>
      <c r="L5" s="15" t="s">
        <v>10</v>
      </c>
      <c r="M5" s="15" t="s">
        <v>11</v>
      </c>
      <c r="N5" s="16" t="s">
        <v>12</v>
      </c>
      <c r="O5" s="15" t="s">
        <v>13</v>
      </c>
    </row>
    <row r="6" spans="2:15" s="13" customFormat="1" ht="21" customHeight="1" x14ac:dyDescent="0.3">
      <c r="B6" s="62" t="s">
        <v>57</v>
      </c>
      <c r="C6" s="63" t="s">
        <v>1</v>
      </c>
      <c r="D6" s="63" t="s">
        <v>2</v>
      </c>
      <c r="E6" s="63" t="s">
        <v>3</v>
      </c>
      <c r="F6" s="63" t="s">
        <v>4</v>
      </c>
      <c r="G6" s="63" t="s">
        <v>5</v>
      </c>
      <c r="H6" s="63" t="s">
        <v>6</v>
      </c>
      <c r="I6" s="63" t="s">
        <v>7</v>
      </c>
      <c r="J6" s="63" t="s">
        <v>8</v>
      </c>
      <c r="K6" s="63" t="s">
        <v>9</v>
      </c>
      <c r="L6" s="63" t="s">
        <v>10</v>
      </c>
      <c r="M6" s="63" t="s">
        <v>11</v>
      </c>
      <c r="N6" s="63" t="s">
        <v>12</v>
      </c>
      <c r="O6" s="63" t="s">
        <v>13</v>
      </c>
    </row>
    <row r="7" spans="2:15" ht="21" customHeight="1" x14ac:dyDescent="0.35">
      <c r="B7" s="64" t="s">
        <v>54</v>
      </c>
      <c r="C7" s="65"/>
      <c r="D7" s="65">
        <f>ACTUAL!C6-Budget!C7</f>
        <v>0</v>
      </c>
      <c r="E7" s="65">
        <f>ACTUAL!D6-Budget!D7</f>
        <v>0</v>
      </c>
      <c r="F7" s="65">
        <f>ACTUAL!E6-Budget!E7</f>
        <v>0</v>
      </c>
      <c r="G7" s="65">
        <f>ACTUAL!F6-Budget!F7</f>
        <v>0</v>
      </c>
      <c r="H7" s="65">
        <f>ACTUAL!G6-Budget!G7</f>
        <v>0</v>
      </c>
      <c r="I7" s="65">
        <f>ACTUAL!H6-Budget!H7</f>
        <v>0</v>
      </c>
      <c r="J7" s="65">
        <f>ACTUAL!I6-Budget!I7</f>
        <v>0</v>
      </c>
      <c r="K7" s="65">
        <f>ACTUAL!J6-Budget!J7</f>
        <v>0</v>
      </c>
      <c r="L7" s="65">
        <f>ACTUAL!K6-Budget!K7</f>
        <v>0</v>
      </c>
      <c r="M7" s="65">
        <f>ACTUAL!L6-Budget!L7</f>
        <v>0</v>
      </c>
      <c r="N7" s="65">
        <f>ACTUAL!M6-Budget!M7</f>
        <v>0</v>
      </c>
      <c r="O7" s="65">
        <f>SUM(C7:N7)</f>
        <v>0</v>
      </c>
    </row>
    <row r="8" spans="2:15" ht="21" customHeight="1" x14ac:dyDescent="0.35"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>
        <f>SUM(C8:N8)</f>
        <v>0</v>
      </c>
    </row>
    <row r="9" spans="2:15" ht="21" customHeight="1" x14ac:dyDescent="0.35">
      <c r="B9" s="66" t="s">
        <v>16</v>
      </c>
      <c r="C9" s="67">
        <f>C7+C8</f>
        <v>0</v>
      </c>
      <c r="D9" s="67">
        <f t="shared" ref="D9:O9" si="0">D7+D8</f>
        <v>0</v>
      </c>
      <c r="E9" s="67">
        <f t="shared" si="0"/>
        <v>0</v>
      </c>
      <c r="F9" s="67">
        <f t="shared" si="0"/>
        <v>0</v>
      </c>
      <c r="G9" s="67">
        <f t="shared" si="0"/>
        <v>0</v>
      </c>
      <c r="H9" s="67">
        <f t="shared" si="0"/>
        <v>0</v>
      </c>
      <c r="I9" s="67">
        <f t="shared" si="0"/>
        <v>0</v>
      </c>
      <c r="J9" s="67">
        <f t="shared" si="0"/>
        <v>0</v>
      </c>
      <c r="K9" s="67">
        <f t="shared" si="0"/>
        <v>0</v>
      </c>
      <c r="L9" s="67">
        <f t="shared" si="0"/>
        <v>0</v>
      </c>
      <c r="M9" s="67">
        <f t="shared" si="0"/>
        <v>0</v>
      </c>
      <c r="N9" s="67">
        <f t="shared" si="0"/>
        <v>0</v>
      </c>
      <c r="O9" s="67">
        <f t="shared" si="0"/>
        <v>0</v>
      </c>
    </row>
    <row r="10" spans="2:15" ht="21" customHeight="1" x14ac:dyDescent="0.3">
      <c r="B10" s="26"/>
      <c r="C10" s="6"/>
      <c r="D10" s="6"/>
      <c r="E10" s="7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2:15" ht="21" customHeight="1" x14ac:dyDescent="0.3">
      <c r="B11" s="39" t="s">
        <v>55</v>
      </c>
      <c r="C11" s="35" t="s">
        <v>1</v>
      </c>
      <c r="D11" s="35" t="s">
        <v>2</v>
      </c>
      <c r="E11" s="36" t="s">
        <v>3</v>
      </c>
      <c r="F11" s="35" t="s">
        <v>4</v>
      </c>
      <c r="G11" s="35" t="s">
        <v>5</v>
      </c>
      <c r="H11" s="35" t="s">
        <v>6</v>
      </c>
      <c r="I11" s="35" t="s">
        <v>7</v>
      </c>
      <c r="J11" s="35" t="s">
        <v>8</v>
      </c>
      <c r="K11" s="35" t="s">
        <v>9</v>
      </c>
      <c r="L11" s="35" t="s">
        <v>10</v>
      </c>
      <c r="M11" s="35" t="s">
        <v>11</v>
      </c>
      <c r="N11" s="35" t="s">
        <v>12</v>
      </c>
      <c r="O11" s="35" t="s">
        <v>13</v>
      </c>
    </row>
    <row r="12" spans="2:15" ht="21" customHeight="1" x14ac:dyDescent="0.35">
      <c r="B12" s="64" t="s">
        <v>124</v>
      </c>
      <c r="C12" s="65"/>
      <c r="D12" s="65">
        <f>ACTUAL!C11-Budget!C12</f>
        <v>0</v>
      </c>
      <c r="E12" s="65">
        <f>ACTUAL!D11-Budget!D12</f>
        <v>0</v>
      </c>
      <c r="F12" s="65">
        <f>ACTUAL!E11-Budget!E12</f>
        <v>0</v>
      </c>
      <c r="G12" s="65">
        <f>ACTUAL!F11-Budget!F12</f>
        <v>0</v>
      </c>
      <c r="H12" s="65">
        <f>ACTUAL!G11-Budget!G12</f>
        <v>0</v>
      </c>
      <c r="I12" s="65">
        <f>ACTUAL!H11-Budget!H12</f>
        <v>0</v>
      </c>
      <c r="J12" s="65">
        <f>ACTUAL!I11-Budget!I12</f>
        <v>0</v>
      </c>
      <c r="K12" s="65">
        <f>ACTUAL!J11-Budget!J12</f>
        <v>0</v>
      </c>
      <c r="L12" s="65">
        <f>ACTUAL!K11-Budget!K12</f>
        <v>0</v>
      </c>
      <c r="M12" s="65">
        <f>ACTUAL!L11-Budget!L12</f>
        <v>0</v>
      </c>
      <c r="N12" s="65">
        <f>ACTUAL!M11-Budget!M12</f>
        <v>0</v>
      </c>
      <c r="O12" s="65">
        <f t="shared" ref="O12:O17" si="1">SUM(C12:N12)</f>
        <v>0</v>
      </c>
    </row>
    <row r="13" spans="2:15" ht="21" customHeight="1" x14ac:dyDescent="0.35">
      <c r="B13" s="160" t="s">
        <v>123</v>
      </c>
      <c r="C13" s="65"/>
      <c r="D13" s="65">
        <f>ACTUAL!C12-Budget!C13</f>
        <v>0</v>
      </c>
      <c r="E13" s="65">
        <f>ACTUAL!D12-Budget!D13</f>
        <v>0</v>
      </c>
      <c r="F13" s="65">
        <f>ACTUAL!E12-Budget!E13</f>
        <v>0</v>
      </c>
      <c r="G13" s="65">
        <f>ACTUAL!F12-Budget!F13</f>
        <v>0</v>
      </c>
      <c r="H13" s="65">
        <f>ACTUAL!G12-Budget!G13</f>
        <v>0</v>
      </c>
      <c r="I13" s="65">
        <f>ACTUAL!H12-Budget!H13</f>
        <v>0</v>
      </c>
      <c r="J13" s="65">
        <f>ACTUAL!I12-Budget!I13</f>
        <v>0</v>
      </c>
      <c r="K13" s="65">
        <f>ACTUAL!J12-Budget!J13</f>
        <v>0</v>
      </c>
      <c r="L13" s="65">
        <f>ACTUAL!K12-Budget!K13</f>
        <v>0</v>
      </c>
      <c r="M13" s="65">
        <f>ACTUAL!L12-Budget!L13</f>
        <v>0</v>
      </c>
      <c r="N13" s="65">
        <f>ACTUAL!M12-Budget!M13</f>
        <v>0</v>
      </c>
      <c r="O13" s="65">
        <f t="shared" si="1"/>
        <v>0</v>
      </c>
    </row>
    <row r="14" spans="2:15" ht="21" customHeight="1" x14ac:dyDescent="0.35">
      <c r="B14" s="41" t="s">
        <v>58</v>
      </c>
      <c r="C14" s="65"/>
      <c r="D14" s="65">
        <f>ACTUAL!C13-Budget!C14</f>
        <v>0</v>
      </c>
      <c r="E14" s="65">
        <f>ACTUAL!D13-Budget!D14</f>
        <v>0</v>
      </c>
      <c r="F14" s="65">
        <f>ACTUAL!E13-Budget!E14</f>
        <v>0</v>
      </c>
      <c r="G14" s="65">
        <f>ACTUAL!F13-Budget!F14</f>
        <v>0</v>
      </c>
      <c r="H14" s="65">
        <f>ACTUAL!G13-Budget!G14</f>
        <v>0</v>
      </c>
      <c r="I14" s="65">
        <f>ACTUAL!H13-Budget!H14</f>
        <v>0</v>
      </c>
      <c r="J14" s="65">
        <f>ACTUAL!I13-Budget!I14</f>
        <v>0</v>
      </c>
      <c r="K14" s="65">
        <f>ACTUAL!J13-Budget!J14</f>
        <v>0</v>
      </c>
      <c r="L14" s="65">
        <f>ACTUAL!K13-Budget!K14</f>
        <v>0</v>
      </c>
      <c r="M14" s="65">
        <f>ACTUAL!L13-Budget!L14</f>
        <v>0</v>
      </c>
      <c r="N14" s="65">
        <f>ACTUAL!M13-Budget!M14</f>
        <v>0</v>
      </c>
      <c r="O14" s="65">
        <f t="shared" si="1"/>
        <v>0</v>
      </c>
    </row>
    <row r="15" spans="2:15" ht="21" customHeight="1" x14ac:dyDescent="0.35">
      <c r="B15" s="41" t="s">
        <v>59</v>
      </c>
      <c r="C15" s="65"/>
      <c r="D15" s="65">
        <f>ACTUAL!C16-Budget!C17</f>
        <v>0</v>
      </c>
      <c r="E15" s="65">
        <f>ACTUAL!D16-Budget!D17</f>
        <v>0</v>
      </c>
      <c r="F15" s="65">
        <f>ACTUAL!E16-Budget!E17</f>
        <v>0</v>
      </c>
      <c r="G15" s="65">
        <f>ACTUAL!F16-Budget!F17</f>
        <v>0</v>
      </c>
      <c r="H15" s="65">
        <f>ACTUAL!G16-Budget!G17</f>
        <v>0</v>
      </c>
      <c r="I15" s="65">
        <f>ACTUAL!H16-Budget!H17</f>
        <v>0</v>
      </c>
      <c r="J15" s="65">
        <f>ACTUAL!I16-Budget!I17</f>
        <v>0</v>
      </c>
      <c r="K15" s="65">
        <f>ACTUAL!J16-Budget!J17</f>
        <v>0</v>
      </c>
      <c r="L15" s="65">
        <f>ACTUAL!K16-Budget!K17</f>
        <v>0</v>
      </c>
      <c r="M15" s="65">
        <f>ACTUAL!L16-Budget!L17</f>
        <v>0</v>
      </c>
      <c r="N15" s="65">
        <f>ACTUAL!M16-Budget!M17</f>
        <v>0</v>
      </c>
      <c r="O15" s="65">
        <f t="shared" si="1"/>
        <v>0</v>
      </c>
    </row>
    <row r="16" spans="2:15" ht="21" customHeight="1" x14ac:dyDescent="0.35">
      <c r="B16" s="31" t="s">
        <v>60</v>
      </c>
      <c r="C16" s="65"/>
      <c r="D16" s="65">
        <f>ACTUAL!C17-Budget!C18</f>
        <v>0</v>
      </c>
      <c r="E16" s="65">
        <f>ACTUAL!D17-Budget!D18</f>
        <v>0</v>
      </c>
      <c r="F16" s="65">
        <f>ACTUAL!E17-Budget!E18</f>
        <v>0</v>
      </c>
      <c r="G16" s="65">
        <f>ACTUAL!F17-Budget!F18</f>
        <v>0</v>
      </c>
      <c r="H16" s="65">
        <f>ACTUAL!G17-Budget!G18</f>
        <v>0</v>
      </c>
      <c r="I16" s="65">
        <f>ACTUAL!H17-Budget!H18</f>
        <v>0</v>
      </c>
      <c r="J16" s="65">
        <f>ACTUAL!I17-Budget!I18</f>
        <v>0</v>
      </c>
      <c r="K16" s="65">
        <f>ACTUAL!J17-Budget!J18</f>
        <v>0</v>
      </c>
      <c r="L16" s="65">
        <f>ACTUAL!K17-Budget!K18</f>
        <v>0</v>
      </c>
      <c r="M16" s="65">
        <f>ACTUAL!L17-Budget!L18</f>
        <v>0</v>
      </c>
      <c r="N16" s="65">
        <f>ACTUAL!M17-Budget!M18</f>
        <v>0</v>
      </c>
      <c r="O16" s="65">
        <f t="shared" si="1"/>
        <v>0</v>
      </c>
    </row>
    <row r="17" spans="2:15" ht="21" customHeight="1" x14ac:dyDescent="0.35">
      <c r="B17" s="43" t="s">
        <v>61</v>
      </c>
      <c r="C17" s="65"/>
      <c r="D17" s="65">
        <f>ACTUAL!C18-Budget!C19</f>
        <v>0</v>
      </c>
      <c r="E17" s="65">
        <f>ACTUAL!D18-Budget!D19</f>
        <v>0</v>
      </c>
      <c r="F17" s="65">
        <f>ACTUAL!E18-Budget!E19</f>
        <v>0</v>
      </c>
      <c r="G17" s="65">
        <f>ACTUAL!F18-Budget!F19</f>
        <v>0</v>
      </c>
      <c r="H17" s="65">
        <f>ACTUAL!G18-Budget!G19</f>
        <v>0</v>
      </c>
      <c r="I17" s="65">
        <f>ACTUAL!H18-Budget!H19</f>
        <v>0</v>
      </c>
      <c r="J17" s="65">
        <f>ACTUAL!I18-Budget!I19</f>
        <v>0</v>
      </c>
      <c r="K17" s="65">
        <f>ACTUAL!J18-Budget!J19</f>
        <v>0</v>
      </c>
      <c r="L17" s="65">
        <f>ACTUAL!K18-Budget!K19</f>
        <v>0</v>
      </c>
      <c r="M17" s="65">
        <f>ACTUAL!L18-Budget!L19</f>
        <v>0</v>
      </c>
      <c r="N17" s="65">
        <f>ACTUAL!M18-Budget!M19</f>
        <v>0</v>
      </c>
      <c r="O17" s="65">
        <f t="shared" si="1"/>
        <v>0</v>
      </c>
    </row>
    <row r="18" spans="2:15" ht="21" customHeight="1" x14ac:dyDescent="0.35">
      <c r="B18" s="159" t="s">
        <v>16</v>
      </c>
      <c r="C18" s="158">
        <f>SUM(C12:C17)</f>
        <v>0</v>
      </c>
      <c r="D18" s="158">
        <f t="shared" ref="D18:N18" si="2">SUM(D12:D17)</f>
        <v>0</v>
      </c>
      <c r="E18" s="158">
        <f t="shared" si="2"/>
        <v>0</v>
      </c>
      <c r="F18" s="158">
        <f t="shared" si="2"/>
        <v>0</v>
      </c>
      <c r="G18" s="158">
        <f t="shared" si="2"/>
        <v>0</v>
      </c>
      <c r="H18" s="158">
        <f t="shared" si="2"/>
        <v>0</v>
      </c>
      <c r="I18" s="158">
        <f t="shared" si="2"/>
        <v>0</v>
      </c>
      <c r="J18" s="158">
        <f t="shared" si="2"/>
        <v>0</v>
      </c>
      <c r="K18" s="158">
        <f t="shared" si="2"/>
        <v>0</v>
      </c>
      <c r="L18" s="158">
        <f t="shared" si="2"/>
        <v>0</v>
      </c>
      <c r="M18" s="158">
        <f t="shared" si="2"/>
        <v>0</v>
      </c>
      <c r="N18" s="158">
        <f t="shared" si="2"/>
        <v>0</v>
      </c>
      <c r="O18" s="158">
        <f>SUBTOTAL(109,tblEmplPlan14151821[YEAR])</f>
        <v>0</v>
      </c>
    </row>
    <row r="19" spans="2:15" ht="21" customHeight="1" x14ac:dyDescent="0.35">
      <c r="B19" s="40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</row>
    <row r="20" spans="2:15" ht="21" customHeight="1" x14ac:dyDescent="0.3">
      <c r="B20" s="17" t="s">
        <v>72</v>
      </c>
      <c r="C20" s="18"/>
      <c r="D20" s="18"/>
      <c r="E20" s="19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2:15" ht="21" customHeight="1" x14ac:dyDescent="0.35">
      <c r="B21" s="24" t="s">
        <v>72</v>
      </c>
      <c r="C21" s="79">
        <f>tblEmplPlan141720[[#Totals],[Jan]]+tblEmplPlan14151821[[#Totals],[Jan]]</f>
        <v>0</v>
      </c>
      <c r="D21" s="79">
        <f>tblEmplPlan141720[[#Totals],[Feb]]+tblEmplPlan14151821[[#Totals],[Feb]]</f>
        <v>0</v>
      </c>
      <c r="E21" s="79">
        <f>tblEmplPlan141720[[#Totals],[Mar]]+tblEmplPlan14151821[[#Totals],[Mar]]</f>
        <v>0</v>
      </c>
      <c r="F21" s="79">
        <f>tblEmplPlan141720[[#Totals],[Apr]]+tblEmplPlan14151821[[#Totals],[Apr]]</f>
        <v>0</v>
      </c>
      <c r="G21" s="79">
        <f>tblEmplPlan141720[[#Totals],[May]]+tblEmplPlan14151821[[#Totals],[May]]</f>
        <v>0</v>
      </c>
      <c r="H21" s="79">
        <f>tblEmplPlan141720[[#Totals],[Jun]]+tblEmplPlan14151821[[#Totals],[Jun]]</f>
        <v>0</v>
      </c>
      <c r="I21" s="79">
        <f>tblEmplPlan141720[[#Totals],[Jul]]+tblEmplPlan14151821[[#Totals],[Jul]]</f>
        <v>0</v>
      </c>
      <c r="J21" s="79">
        <f>tblEmplPlan141720[[#Totals],[Aug]]+tblEmplPlan14151821[[#Totals],[Aug]]</f>
        <v>0</v>
      </c>
      <c r="K21" s="79">
        <f>tblEmplPlan141720[[#Totals],[Sep]]+tblEmplPlan14151821[[#Totals],[Sep]]</f>
        <v>0</v>
      </c>
      <c r="L21" s="79">
        <f>tblEmplPlan141720[[#Totals],[Oct]]+tblEmplPlan14151821[[#Totals],[Oct]]</f>
        <v>0</v>
      </c>
      <c r="M21" s="79">
        <f>tblEmplPlan141720[[#Totals],[Nov]]+tblEmplPlan14151821[[#Totals],[Nov]]</f>
        <v>0</v>
      </c>
      <c r="N21" s="79">
        <f>tblEmplPlan141720[[#Totals],[Dec]]+tblEmplPlan14151821[[#Totals],[Dec]]</f>
        <v>0</v>
      </c>
      <c r="O21" s="80"/>
    </row>
    <row r="22" spans="2:15" ht="21" customHeight="1" x14ac:dyDescent="0.35"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2:15" ht="21" customHeight="1" x14ac:dyDescent="0.3">
      <c r="B23" s="39" t="s">
        <v>65</v>
      </c>
      <c r="C23" s="35" t="s">
        <v>1</v>
      </c>
      <c r="D23" s="35" t="s">
        <v>2</v>
      </c>
      <c r="E23" s="36" t="s">
        <v>3</v>
      </c>
      <c r="F23" s="35" t="s">
        <v>4</v>
      </c>
      <c r="G23" s="35" t="s">
        <v>5</v>
      </c>
      <c r="H23" s="35" t="s">
        <v>6</v>
      </c>
      <c r="I23" s="35" t="s">
        <v>7</v>
      </c>
      <c r="J23" s="35" t="s">
        <v>8</v>
      </c>
      <c r="K23" s="35" t="s">
        <v>9</v>
      </c>
      <c r="L23" s="35" t="s">
        <v>10</v>
      </c>
      <c r="M23" s="35" t="s">
        <v>11</v>
      </c>
      <c r="N23" s="35" t="s">
        <v>12</v>
      </c>
      <c r="O23" s="35" t="s">
        <v>13</v>
      </c>
    </row>
    <row r="24" spans="2:15" ht="21" customHeight="1" x14ac:dyDescent="0.35">
      <c r="B24" s="46" t="s">
        <v>71</v>
      </c>
      <c r="C24" s="112"/>
      <c r="D24" s="112">
        <f>ACTUAL!C25-Budget!C26</f>
        <v>0</v>
      </c>
      <c r="E24" s="112">
        <f>ACTUAL!D25-Budget!D26</f>
        <v>0</v>
      </c>
      <c r="F24" s="112">
        <f>ACTUAL!E25-Budget!E26</f>
        <v>0</v>
      </c>
      <c r="G24" s="112">
        <f>ACTUAL!F25-Budget!F26</f>
        <v>0</v>
      </c>
      <c r="H24" s="112">
        <f>ACTUAL!G25-Budget!G26</f>
        <v>0</v>
      </c>
      <c r="I24" s="112">
        <f>ACTUAL!H25-Budget!H26</f>
        <v>0</v>
      </c>
      <c r="J24" s="112">
        <f>ACTUAL!I25-Budget!I26</f>
        <v>0</v>
      </c>
      <c r="K24" s="112">
        <f>ACTUAL!J25-Budget!J26</f>
        <v>0</v>
      </c>
      <c r="L24" s="112">
        <f>ACTUAL!K25-Budget!K26</f>
        <v>0</v>
      </c>
      <c r="M24" s="112">
        <f>ACTUAL!L25-Budget!L26</f>
        <v>0</v>
      </c>
      <c r="N24" s="112">
        <f>ACTUAL!M25-Budget!M26</f>
        <v>0</v>
      </c>
      <c r="O24" s="35">
        <f t="shared" ref="O24:O30" si="3">SUM(C24:N24)</f>
        <v>0</v>
      </c>
    </row>
    <row r="25" spans="2:15" ht="21" customHeight="1" x14ac:dyDescent="0.35">
      <c r="B25" s="46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35">
        <f t="shared" si="3"/>
        <v>0</v>
      </c>
    </row>
    <row r="26" spans="2:15" ht="21" customHeight="1" x14ac:dyDescent="0.35">
      <c r="B26" s="31" t="s">
        <v>66</v>
      </c>
      <c r="C26" s="114"/>
      <c r="D26" s="114">
        <f>ACTUAL!C27-Budget!C28</f>
        <v>0</v>
      </c>
      <c r="E26" s="114">
        <f>ACTUAL!D27-Budget!D28</f>
        <v>0</v>
      </c>
      <c r="F26" s="114">
        <f>ACTUAL!E27-Budget!E28</f>
        <v>0</v>
      </c>
      <c r="G26" s="114">
        <f>ACTUAL!F27-Budget!F28</f>
        <v>0</v>
      </c>
      <c r="H26" s="114">
        <f>ACTUAL!G27-Budget!G28</f>
        <v>0</v>
      </c>
      <c r="I26" s="114">
        <f>ACTUAL!H27-Budget!H28</f>
        <v>0</v>
      </c>
      <c r="J26" s="114">
        <f>ACTUAL!I27-Budget!I28</f>
        <v>0</v>
      </c>
      <c r="K26" s="114">
        <f>ACTUAL!J27-Budget!J28</f>
        <v>0</v>
      </c>
      <c r="L26" s="114">
        <f>ACTUAL!K27-Budget!K28</f>
        <v>0</v>
      </c>
      <c r="M26" s="114">
        <f>ACTUAL!L27-Budget!L28</f>
        <v>0</v>
      </c>
      <c r="N26" s="114">
        <f>ACTUAL!M27-Budget!M28</f>
        <v>0</v>
      </c>
      <c r="O26" s="32">
        <f t="shared" si="3"/>
        <v>0</v>
      </c>
    </row>
    <row r="27" spans="2:15" ht="21" customHeight="1" x14ac:dyDescent="0.35">
      <c r="B27" s="41" t="s">
        <v>67</v>
      </c>
      <c r="C27" s="114"/>
      <c r="D27" s="114">
        <f>ACTUAL!C28-Budget!C29</f>
        <v>0</v>
      </c>
      <c r="E27" s="114">
        <f>ACTUAL!D28-Budget!D29</f>
        <v>0</v>
      </c>
      <c r="F27" s="114">
        <f>ACTUAL!E28-Budget!E29</f>
        <v>0</v>
      </c>
      <c r="G27" s="114">
        <f>ACTUAL!F28-Budget!F29</f>
        <v>0</v>
      </c>
      <c r="H27" s="114">
        <f>ACTUAL!G28-Budget!G29</f>
        <v>0</v>
      </c>
      <c r="I27" s="114">
        <f>ACTUAL!H28-Budget!H29</f>
        <v>0</v>
      </c>
      <c r="J27" s="114">
        <f>ACTUAL!I28-Budget!I29</f>
        <v>0</v>
      </c>
      <c r="K27" s="114">
        <f>ACTUAL!J28-Budget!J29</f>
        <v>0</v>
      </c>
      <c r="L27" s="114">
        <f>ACTUAL!K28-Budget!K29</f>
        <v>0</v>
      </c>
      <c r="M27" s="114">
        <f>ACTUAL!L28-Budget!L29</f>
        <v>0</v>
      </c>
      <c r="N27" s="114">
        <f>ACTUAL!M28-Budget!M29</f>
        <v>0</v>
      </c>
      <c r="O27" s="32">
        <f t="shared" si="3"/>
        <v>0</v>
      </c>
    </row>
    <row r="28" spans="2:15" ht="21" customHeight="1" x14ac:dyDescent="0.35">
      <c r="B28" s="41" t="s">
        <v>68</v>
      </c>
      <c r="C28" s="114"/>
      <c r="D28" s="114">
        <f>ACTUAL!C30-Budget!C31</f>
        <v>0</v>
      </c>
      <c r="E28" s="114">
        <f>ACTUAL!D30-Budget!D31</f>
        <v>0</v>
      </c>
      <c r="F28" s="114">
        <f>ACTUAL!E30-Budget!E31</f>
        <v>0</v>
      </c>
      <c r="G28" s="114">
        <f>ACTUAL!F30-Budget!F31</f>
        <v>0</v>
      </c>
      <c r="H28" s="114">
        <f>ACTUAL!G30-Budget!G31</f>
        <v>0</v>
      </c>
      <c r="I28" s="114">
        <f>ACTUAL!H30-Budget!H31</f>
        <v>0</v>
      </c>
      <c r="J28" s="114">
        <f>ACTUAL!I30-Budget!I31</f>
        <v>0</v>
      </c>
      <c r="K28" s="114">
        <f>ACTUAL!J30-Budget!J31</f>
        <v>0</v>
      </c>
      <c r="L28" s="114">
        <f>ACTUAL!K30-Budget!K31</f>
        <v>0</v>
      </c>
      <c r="M28" s="114">
        <f>ACTUAL!L30-Budget!L31</f>
        <v>0</v>
      </c>
      <c r="N28" s="114">
        <f>ACTUAL!M30-Budget!M31</f>
        <v>0</v>
      </c>
      <c r="O28" s="32">
        <f t="shared" si="3"/>
        <v>0</v>
      </c>
    </row>
    <row r="29" spans="2:15" ht="21" customHeight="1" x14ac:dyDescent="0.35">
      <c r="B29" s="31" t="s">
        <v>69</v>
      </c>
      <c r="C29" s="114"/>
      <c r="D29" s="114">
        <f>ACTUAL!C31-Budget!C32</f>
        <v>0</v>
      </c>
      <c r="E29" s="114">
        <f>ACTUAL!D31-Budget!D32</f>
        <v>0</v>
      </c>
      <c r="F29" s="114">
        <f>ACTUAL!E31-Budget!E32</f>
        <v>0</v>
      </c>
      <c r="G29" s="114">
        <f>ACTUAL!F31-Budget!F32</f>
        <v>0</v>
      </c>
      <c r="H29" s="114">
        <f>ACTUAL!G31-Budget!G32</f>
        <v>0</v>
      </c>
      <c r="I29" s="114">
        <f>ACTUAL!H31-Budget!H32</f>
        <v>0</v>
      </c>
      <c r="J29" s="114">
        <f>ACTUAL!I31-Budget!I32</f>
        <v>0</v>
      </c>
      <c r="K29" s="114">
        <f>ACTUAL!J31-Budget!J32</f>
        <v>0</v>
      </c>
      <c r="L29" s="114">
        <f>ACTUAL!K31-Budget!K32</f>
        <v>0</v>
      </c>
      <c r="M29" s="114">
        <f>ACTUAL!L31-Budget!L32</f>
        <v>0</v>
      </c>
      <c r="N29" s="114">
        <f>ACTUAL!M31-Budget!M32</f>
        <v>0</v>
      </c>
      <c r="O29" s="32">
        <f t="shared" si="3"/>
        <v>0</v>
      </c>
    </row>
    <row r="30" spans="2:15" ht="21" customHeight="1" x14ac:dyDescent="0.35">
      <c r="B30" s="43" t="s">
        <v>70</v>
      </c>
      <c r="C30" s="114"/>
      <c r="D30" s="114">
        <f>ACTUAL!C32-Budget!C33</f>
        <v>0</v>
      </c>
      <c r="E30" s="114">
        <f>ACTUAL!D32-Budget!D33</f>
        <v>0</v>
      </c>
      <c r="F30" s="114">
        <f>ACTUAL!E32-Budget!E33</f>
        <v>0</v>
      </c>
      <c r="G30" s="114">
        <f>ACTUAL!F32-Budget!F33</f>
        <v>0</v>
      </c>
      <c r="H30" s="114">
        <f>ACTUAL!G32-Budget!G33</f>
        <v>0</v>
      </c>
      <c r="I30" s="114">
        <f>ACTUAL!H32-Budget!H33</f>
        <v>0</v>
      </c>
      <c r="J30" s="114">
        <f>ACTUAL!I32-Budget!I33</f>
        <v>0</v>
      </c>
      <c r="K30" s="114">
        <f>ACTUAL!J32-Budget!J33</f>
        <v>0</v>
      </c>
      <c r="L30" s="114">
        <f>ACTUAL!K32-Budget!K33</f>
        <v>0</v>
      </c>
      <c r="M30" s="114">
        <f>ACTUAL!L32-Budget!L33</f>
        <v>0</v>
      </c>
      <c r="N30" s="114">
        <f>ACTUAL!M32-Budget!M33</f>
        <v>0</v>
      </c>
      <c r="O30" s="32">
        <f t="shared" si="3"/>
        <v>0</v>
      </c>
    </row>
    <row r="31" spans="2:15" ht="21" customHeight="1" x14ac:dyDescent="0.35">
      <c r="B31" s="40" t="s">
        <v>77</v>
      </c>
      <c r="C31" s="67">
        <f>C24+C26+C27+C28+C29+C30</f>
        <v>0</v>
      </c>
      <c r="D31" s="67">
        <f t="shared" ref="D31:N31" si="4">D24+D26+D27+D28+D29+D30</f>
        <v>0</v>
      </c>
      <c r="E31" s="67">
        <f t="shared" si="4"/>
        <v>0</v>
      </c>
      <c r="F31" s="67">
        <f t="shared" si="4"/>
        <v>0</v>
      </c>
      <c r="G31" s="67">
        <f t="shared" si="4"/>
        <v>0</v>
      </c>
      <c r="H31" s="67">
        <f t="shared" si="4"/>
        <v>0</v>
      </c>
      <c r="I31" s="67">
        <f t="shared" si="4"/>
        <v>0</v>
      </c>
      <c r="J31" s="67">
        <f t="shared" si="4"/>
        <v>0</v>
      </c>
      <c r="K31" s="67">
        <f t="shared" si="4"/>
        <v>0</v>
      </c>
      <c r="L31" s="67">
        <f t="shared" si="4"/>
        <v>0</v>
      </c>
      <c r="M31" s="67">
        <f t="shared" si="4"/>
        <v>0</v>
      </c>
      <c r="N31" s="67">
        <f t="shared" si="4"/>
        <v>0</v>
      </c>
      <c r="O31" s="42">
        <f>SUBTOTAL(109,tblEmplPlan1415161922[YEAR])</f>
        <v>0</v>
      </c>
    </row>
    <row r="32" spans="2:15" ht="21" customHeight="1" x14ac:dyDescent="0.35"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</row>
    <row r="33" spans="2:15" ht="21" customHeight="1" x14ac:dyDescent="0.3">
      <c r="B33" s="17" t="s">
        <v>73</v>
      </c>
      <c r="C33" s="18"/>
      <c r="D33" s="18"/>
      <c r="E33" s="19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2:15" ht="21" customHeight="1" x14ac:dyDescent="0.35">
      <c r="B34" s="24" t="s">
        <v>74</v>
      </c>
      <c r="C34" s="25">
        <f>tblEmplPlan141720[[#Totals],[Jan]]-C24</f>
        <v>0</v>
      </c>
      <c r="D34" s="25">
        <f>tblEmplPlan141720[[#Totals],[Feb]]-D24</f>
        <v>0</v>
      </c>
      <c r="E34" s="25">
        <f>tblEmplPlan141720[[#Totals],[Mar]]-E24</f>
        <v>0</v>
      </c>
      <c r="F34" s="25">
        <f>tblEmplPlan141720[[#Totals],[Apr]]-F24</f>
        <v>0</v>
      </c>
      <c r="G34" s="25">
        <f>tblEmplPlan141720[[#Totals],[May]]-G24</f>
        <v>0</v>
      </c>
      <c r="H34" s="25">
        <f>tblEmplPlan141720[[#Totals],[Jun]]-H24</f>
        <v>0</v>
      </c>
      <c r="I34" s="25">
        <f>tblEmplPlan141720[[#Totals],[Jul]]-I24</f>
        <v>0</v>
      </c>
      <c r="J34" s="25">
        <f>tblEmplPlan141720[[#Totals],[Aug]]-J24</f>
        <v>0</v>
      </c>
      <c r="K34" s="25">
        <f>tblEmplPlan141720[[#Totals],[Sep]]-K24</f>
        <v>0</v>
      </c>
      <c r="L34" s="25">
        <f>tblEmplPlan141720[[#Totals],[Oct]]-L24</f>
        <v>0</v>
      </c>
      <c r="M34" s="25">
        <f>tblEmplPlan141720[[#Totals],[Nov]]-M24</f>
        <v>0</v>
      </c>
      <c r="N34" s="25">
        <f>tblEmplPlan141720[[#Totals],[Dec]]-N24</f>
        <v>0</v>
      </c>
      <c r="O34" s="23"/>
    </row>
    <row r="35" spans="2:15" ht="21" customHeight="1" x14ac:dyDescent="0.35">
      <c r="B35" s="24" t="s">
        <v>75</v>
      </c>
      <c r="C35" s="25">
        <f>tblEmplPlan14151821[[#Totals],[Jan]]-C26-C27-C28-C29-C30</f>
        <v>0</v>
      </c>
      <c r="D35" s="25">
        <f>tblEmplPlan14151821[[#Totals],[Feb]]-D26-D27-D28-D29-D30</f>
        <v>0</v>
      </c>
      <c r="E35" s="25">
        <f>tblEmplPlan14151821[[#Totals],[Mar]]-E26-E27-E28-E29-E30</f>
        <v>0</v>
      </c>
      <c r="F35" s="25">
        <f>tblEmplPlan14151821[[#Totals],[Apr]]-F26-F27-F28-F29-F30</f>
        <v>0</v>
      </c>
      <c r="G35" s="25">
        <f>tblEmplPlan14151821[[#Totals],[May]]-G26-G27-G28-G29-G30</f>
        <v>0</v>
      </c>
      <c r="H35" s="25">
        <f>tblEmplPlan14151821[[#Totals],[Jun]]-H26-H27-H28-H29-H30</f>
        <v>0</v>
      </c>
      <c r="I35" s="25">
        <f>tblEmplPlan14151821[[#Totals],[Jul]]-I26-I27-I28-I29-I30</f>
        <v>0</v>
      </c>
      <c r="J35" s="25">
        <f>tblEmplPlan14151821[[#Totals],[Aug]]-J26-J27-J28-J29-J30</f>
        <v>0</v>
      </c>
      <c r="K35" s="25">
        <f>tblEmplPlan14151821[[#Totals],[Sep]]-K26-K27-K28-K29-K30</f>
        <v>0</v>
      </c>
      <c r="L35" s="25">
        <f>tblEmplPlan14151821[[#Totals],[Oct]]-L26-L27-L28-L29-L30</f>
        <v>0</v>
      </c>
      <c r="M35" s="25">
        <f>tblEmplPlan14151821[[#Totals],[Nov]]-M26-M27-M28-M29-M30</f>
        <v>0</v>
      </c>
      <c r="N35" s="25">
        <f>tblEmplPlan14151821[[#Totals],[Dec]]-N26-N27-N28-N29-N30</f>
        <v>0</v>
      </c>
      <c r="O35" s="23"/>
    </row>
    <row r="36" spans="2:15" ht="21" customHeight="1" x14ac:dyDescent="0.35">
      <c r="B36" s="24" t="s">
        <v>73</v>
      </c>
      <c r="C36" s="25">
        <f>C34+C35</f>
        <v>0</v>
      </c>
      <c r="D36" s="25">
        <f t="shared" ref="D36:N36" si="5">D34+D35</f>
        <v>0</v>
      </c>
      <c r="E36" s="25">
        <f t="shared" si="5"/>
        <v>0</v>
      </c>
      <c r="F36" s="25">
        <f t="shared" si="5"/>
        <v>0</v>
      </c>
      <c r="G36" s="25">
        <f t="shared" si="5"/>
        <v>0</v>
      </c>
      <c r="H36" s="25">
        <f t="shared" si="5"/>
        <v>0</v>
      </c>
      <c r="I36" s="25">
        <f t="shared" si="5"/>
        <v>0</v>
      </c>
      <c r="J36" s="25">
        <f t="shared" si="5"/>
        <v>0</v>
      </c>
      <c r="K36" s="25">
        <f t="shared" si="5"/>
        <v>0</v>
      </c>
      <c r="L36" s="25">
        <f t="shared" si="5"/>
        <v>0</v>
      </c>
      <c r="M36" s="25">
        <f t="shared" si="5"/>
        <v>0</v>
      </c>
      <c r="N36" s="25">
        <f t="shared" si="5"/>
        <v>0</v>
      </c>
      <c r="O36" s="23"/>
    </row>
    <row r="37" spans="2:15" ht="21" customHeight="1" x14ac:dyDescent="0.3">
      <c r="B37" s="52"/>
      <c r="C37" s="53"/>
      <c r="D37" s="53"/>
      <c r="E37" s="54"/>
      <c r="F37" s="53"/>
      <c r="G37" s="53"/>
      <c r="H37" s="53"/>
      <c r="I37" s="53"/>
      <c r="J37" s="53"/>
      <c r="K37" s="53"/>
      <c r="L37" s="53"/>
      <c r="M37" s="53"/>
      <c r="N37" s="53"/>
      <c r="O37" s="53"/>
    </row>
    <row r="38" spans="2:15" ht="21" customHeight="1" x14ac:dyDescent="0.3">
      <c r="B38" s="17" t="s">
        <v>21</v>
      </c>
      <c r="C38" s="15" t="s">
        <v>1</v>
      </c>
      <c r="D38" s="15" t="s">
        <v>2</v>
      </c>
      <c r="E38" s="16" t="s">
        <v>3</v>
      </c>
      <c r="F38" s="15" t="s">
        <v>4</v>
      </c>
      <c r="G38" s="15" t="s">
        <v>5</v>
      </c>
      <c r="H38" s="15" t="s">
        <v>6</v>
      </c>
      <c r="I38" s="16" t="s">
        <v>7</v>
      </c>
      <c r="J38" s="15" t="s">
        <v>8</v>
      </c>
      <c r="K38" s="15" t="s">
        <v>9</v>
      </c>
      <c r="L38" s="15" t="s">
        <v>10</v>
      </c>
      <c r="M38" s="15" t="s">
        <v>11</v>
      </c>
      <c r="N38" s="16" t="s">
        <v>12</v>
      </c>
      <c r="O38" s="15" t="s">
        <v>13</v>
      </c>
    </row>
    <row r="39" spans="2:15" ht="21" customHeight="1" x14ac:dyDescent="0.3">
      <c r="B39" s="39" t="s">
        <v>14</v>
      </c>
      <c r="C39" s="35" t="s">
        <v>1</v>
      </c>
      <c r="D39" s="35" t="s">
        <v>2</v>
      </c>
      <c r="E39" s="36" t="s">
        <v>3</v>
      </c>
      <c r="F39" s="35" t="s">
        <v>4</v>
      </c>
      <c r="G39" s="35" t="s">
        <v>5</v>
      </c>
      <c r="H39" s="35" t="s">
        <v>6</v>
      </c>
      <c r="I39" s="35" t="s">
        <v>7</v>
      </c>
      <c r="J39" s="35" t="s">
        <v>8</v>
      </c>
      <c r="K39" s="35" t="s">
        <v>9</v>
      </c>
      <c r="L39" s="35" t="s">
        <v>10</v>
      </c>
      <c r="M39" s="35" t="s">
        <v>11</v>
      </c>
      <c r="N39" s="35" t="s">
        <v>12</v>
      </c>
      <c r="O39" s="35" t="s">
        <v>13</v>
      </c>
    </row>
    <row r="40" spans="2:15" ht="21" customHeight="1" x14ac:dyDescent="0.35">
      <c r="B40" s="31" t="s">
        <v>82</v>
      </c>
      <c r="C40" s="32">
        <f>ACTUAL!B47-Budget!B48</f>
        <v>0</v>
      </c>
      <c r="D40" s="32">
        <f>ACTUAL!C47-Budget!C48</f>
        <v>0</v>
      </c>
      <c r="E40" s="32">
        <f>ACTUAL!D47-Budget!D48</f>
        <v>0</v>
      </c>
      <c r="F40" s="32">
        <f>ACTUAL!E47-Budget!E48</f>
        <v>0</v>
      </c>
      <c r="G40" s="32">
        <f>ACTUAL!F47-Budget!F48</f>
        <v>0</v>
      </c>
      <c r="H40" s="32">
        <f>ACTUAL!G47-Budget!G48</f>
        <v>0</v>
      </c>
      <c r="I40" s="32">
        <f>ACTUAL!H47-Budget!H48</f>
        <v>0</v>
      </c>
      <c r="J40" s="32">
        <f>ACTUAL!I47-Budget!I48</f>
        <v>0</v>
      </c>
      <c r="K40" s="32">
        <f>ACTUAL!J47-Budget!J48</f>
        <v>0</v>
      </c>
      <c r="L40" s="32">
        <f>ACTUAL!K47-Budget!K48</f>
        <v>0</v>
      </c>
      <c r="M40" s="32">
        <f>ACTUAL!L47-Budget!L48</f>
        <v>0</v>
      </c>
      <c r="N40" s="32">
        <f>ACTUAL!M47-Budget!M48</f>
        <v>0</v>
      </c>
      <c r="O40" s="32">
        <f t="shared" ref="O40:O48" si="6">SUM(C40:N40)</f>
        <v>0</v>
      </c>
    </row>
    <row r="41" spans="2:15" ht="21" customHeight="1" x14ac:dyDescent="0.35">
      <c r="B41" s="41" t="s">
        <v>78</v>
      </c>
      <c r="C41" s="32">
        <f>ACTUAL!B34-Budget!B35</f>
        <v>0</v>
      </c>
      <c r="D41" s="32">
        <f>ACTUAL!C34-Budget!C35</f>
        <v>0</v>
      </c>
      <c r="E41" s="32">
        <f>ACTUAL!D34-Budget!D35</f>
        <v>0</v>
      </c>
      <c r="F41" s="32">
        <f>ACTUAL!E34-Budget!E35</f>
        <v>0</v>
      </c>
      <c r="G41" s="32">
        <f>ACTUAL!F34-Budget!F35</f>
        <v>0</v>
      </c>
      <c r="H41" s="32">
        <f>ACTUAL!G34-Budget!G35</f>
        <v>0</v>
      </c>
      <c r="I41" s="32">
        <f>ACTUAL!H34-Budget!H35</f>
        <v>0</v>
      </c>
      <c r="J41" s="32">
        <f>ACTUAL!I34-Budget!I35</f>
        <v>0</v>
      </c>
      <c r="K41" s="32">
        <f>ACTUAL!J34-Budget!J35</f>
        <v>0</v>
      </c>
      <c r="L41" s="32">
        <f>ACTUAL!K34-Budget!K35</f>
        <v>0</v>
      </c>
      <c r="M41" s="32">
        <f>ACTUAL!L34-Budget!L35</f>
        <v>0</v>
      </c>
      <c r="N41" s="32">
        <f>ACTUAL!M34-Budget!M35</f>
        <v>0</v>
      </c>
      <c r="O41" s="32">
        <f t="shared" si="6"/>
        <v>0</v>
      </c>
    </row>
    <row r="42" spans="2:15" ht="21" hidden="1" customHeight="1" x14ac:dyDescent="0.35">
      <c r="B42" s="41" t="s">
        <v>79</v>
      </c>
      <c r="C42" s="32" t="e">
        <f>ACTUAL!#REF!-Budget!#REF!</f>
        <v>#REF!</v>
      </c>
      <c r="D42" s="32" t="e">
        <f>ACTUAL!#REF!-Budget!#REF!</f>
        <v>#REF!</v>
      </c>
      <c r="E42" s="32" t="e">
        <f>ACTUAL!#REF!-Budget!#REF!</f>
        <v>#REF!</v>
      </c>
      <c r="F42" s="32" t="e">
        <f>ACTUAL!#REF!-Budget!#REF!</f>
        <v>#REF!</v>
      </c>
      <c r="G42" s="32" t="e">
        <f>ACTUAL!#REF!-Budget!#REF!</f>
        <v>#REF!</v>
      </c>
      <c r="H42" s="32" t="e">
        <f>ACTUAL!#REF!-Budget!#REF!</f>
        <v>#REF!</v>
      </c>
      <c r="I42" s="32" t="e">
        <f>ACTUAL!#REF!-Budget!#REF!</f>
        <v>#REF!</v>
      </c>
      <c r="J42" s="32" t="e">
        <f>ACTUAL!#REF!-Budget!#REF!</f>
        <v>#REF!</v>
      </c>
      <c r="K42" s="32" t="e">
        <f>ACTUAL!#REF!-Budget!#REF!</f>
        <v>#REF!</v>
      </c>
      <c r="L42" s="32" t="e">
        <f>ACTUAL!#REF!-Budget!#REF!</f>
        <v>#REF!</v>
      </c>
      <c r="M42" s="32" t="e">
        <f>ACTUAL!#REF!-Budget!#REF!</f>
        <v>#REF!</v>
      </c>
      <c r="N42" s="32" t="e">
        <f>ACTUAL!#REF!-Budget!#REF!</f>
        <v>#REF!</v>
      </c>
      <c r="O42" s="32" t="e">
        <f t="shared" si="6"/>
        <v>#REF!</v>
      </c>
    </row>
    <row r="43" spans="2:15" ht="21" customHeight="1" x14ac:dyDescent="0.35">
      <c r="B43" s="41" t="s">
        <v>81</v>
      </c>
      <c r="C43" s="32">
        <f>ACTUAL!B35-Budget!B36</f>
        <v>0</v>
      </c>
      <c r="D43" s="32">
        <f>ACTUAL!C35-Budget!C36</f>
        <v>0</v>
      </c>
      <c r="E43" s="32">
        <f>ACTUAL!D35-Budget!D36</f>
        <v>0</v>
      </c>
      <c r="F43" s="32">
        <f>ACTUAL!E35-Budget!E36</f>
        <v>0</v>
      </c>
      <c r="G43" s="32">
        <f>ACTUAL!F35-Budget!F36</f>
        <v>0</v>
      </c>
      <c r="H43" s="32">
        <f>ACTUAL!G35-Budget!G36</f>
        <v>0</v>
      </c>
      <c r="I43" s="32">
        <f>ACTUAL!H35-Budget!H36</f>
        <v>0</v>
      </c>
      <c r="J43" s="32">
        <f>ACTUAL!I35-Budget!I36</f>
        <v>0</v>
      </c>
      <c r="K43" s="32">
        <f>ACTUAL!J35-Budget!J36</f>
        <v>0</v>
      </c>
      <c r="L43" s="32">
        <f>ACTUAL!K35-Budget!K36</f>
        <v>0</v>
      </c>
      <c r="M43" s="32">
        <f>ACTUAL!L35-Budget!L36</f>
        <v>0</v>
      </c>
      <c r="N43" s="32">
        <f>ACTUAL!M35-Budget!M36</f>
        <v>0</v>
      </c>
      <c r="O43" s="32">
        <f t="shared" si="6"/>
        <v>0</v>
      </c>
    </row>
    <row r="44" spans="2:15" ht="21" customHeight="1" x14ac:dyDescent="0.35">
      <c r="B44" s="41" t="s">
        <v>80</v>
      </c>
      <c r="C44" s="32">
        <f>ACTUAL!B37-Budget!B38</f>
        <v>0</v>
      </c>
      <c r="D44" s="32">
        <f>ACTUAL!C37-Budget!C38</f>
        <v>0</v>
      </c>
      <c r="E44" s="32">
        <f>ACTUAL!D37-Budget!D38</f>
        <v>0</v>
      </c>
      <c r="F44" s="32">
        <f>ACTUAL!E37-Budget!E38</f>
        <v>0</v>
      </c>
      <c r="G44" s="32">
        <f>ACTUAL!F37-Budget!F38</f>
        <v>0</v>
      </c>
      <c r="H44" s="32">
        <f>ACTUAL!G37-Budget!G38</f>
        <v>0</v>
      </c>
      <c r="I44" s="32">
        <f>ACTUAL!H37-Budget!H38</f>
        <v>0</v>
      </c>
      <c r="J44" s="32">
        <f>ACTUAL!I37-Budget!I38</f>
        <v>0</v>
      </c>
      <c r="K44" s="32">
        <f>ACTUAL!J37-Budget!J38</f>
        <v>0</v>
      </c>
      <c r="L44" s="32">
        <f>ACTUAL!K37-Budget!K38</f>
        <v>0</v>
      </c>
      <c r="M44" s="32">
        <f>ACTUAL!L37-Budget!L38</f>
        <v>0</v>
      </c>
      <c r="N44" s="32">
        <f>ACTUAL!M37-Budget!M38</f>
        <v>0</v>
      </c>
      <c r="O44" s="32">
        <f t="shared" si="6"/>
        <v>0</v>
      </c>
    </row>
    <row r="45" spans="2:15" ht="21" customHeight="1" x14ac:dyDescent="0.35">
      <c r="B45" s="41" t="s">
        <v>83</v>
      </c>
      <c r="C45" s="32">
        <f>ACTUAL!B82-Budget!B83</f>
        <v>0</v>
      </c>
      <c r="D45" s="32">
        <f>ACTUAL!C82-Budget!C83</f>
        <v>0</v>
      </c>
      <c r="E45" s="32">
        <f>ACTUAL!D82-Budget!D83</f>
        <v>0</v>
      </c>
      <c r="F45" s="32">
        <f>ACTUAL!E82-Budget!E83</f>
        <v>0</v>
      </c>
      <c r="G45" s="32">
        <f>ACTUAL!F82-Budget!F83</f>
        <v>0</v>
      </c>
      <c r="H45" s="32">
        <f>ACTUAL!G82-Budget!G83</f>
        <v>0</v>
      </c>
      <c r="I45" s="32">
        <f>ACTUAL!H82-Budget!H83</f>
        <v>0</v>
      </c>
      <c r="J45" s="32">
        <f>ACTUAL!I82-Budget!I83</f>
        <v>0</v>
      </c>
      <c r="K45" s="32">
        <f>ACTUAL!J82-Budget!J83</f>
        <v>0</v>
      </c>
      <c r="L45" s="32">
        <f>ACTUAL!K82-Budget!K83</f>
        <v>0</v>
      </c>
      <c r="M45" s="32">
        <f>ACTUAL!L82-Budget!L83</f>
        <v>0</v>
      </c>
      <c r="N45" s="32">
        <f>ACTUAL!M82-Budget!M83</f>
        <v>0</v>
      </c>
      <c r="O45" s="32">
        <f t="shared" si="6"/>
        <v>0</v>
      </c>
    </row>
    <row r="46" spans="2:15" ht="21" customHeight="1" x14ac:dyDescent="0.35">
      <c r="B46" s="41" t="s">
        <v>84</v>
      </c>
      <c r="C46" s="32">
        <f>ACTUAL!B84-Budget!B85</f>
        <v>0</v>
      </c>
      <c r="D46" s="32">
        <f>ACTUAL!C84-Budget!C85</f>
        <v>0</v>
      </c>
      <c r="E46" s="32">
        <f>ACTUAL!D84-Budget!D85</f>
        <v>0</v>
      </c>
      <c r="F46" s="32">
        <f>ACTUAL!E84-Budget!E85</f>
        <v>0</v>
      </c>
      <c r="G46" s="32">
        <f>ACTUAL!F84-Budget!F85</f>
        <v>0</v>
      </c>
      <c r="H46" s="32">
        <f>ACTUAL!G84-Budget!G85</f>
        <v>0</v>
      </c>
      <c r="I46" s="32">
        <f>ACTUAL!H84-Budget!H85</f>
        <v>0</v>
      </c>
      <c r="J46" s="32">
        <f>ACTUAL!I84-Budget!I85</f>
        <v>0</v>
      </c>
      <c r="K46" s="32">
        <f>ACTUAL!J84-Budget!J85</f>
        <v>0</v>
      </c>
      <c r="L46" s="32">
        <f>ACTUAL!K84-Budget!K85</f>
        <v>0</v>
      </c>
      <c r="M46" s="32">
        <f>ACTUAL!L84-Budget!L85</f>
        <v>0</v>
      </c>
      <c r="N46" s="32">
        <f>ACTUAL!M84-Budget!M85</f>
        <v>0</v>
      </c>
      <c r="O46" s="32">
        <f t="shared" si="6"/>
        <v>0</v>
      </c>
    </row>
    <row r="47" spans="2:15" ht="21" customHeight="1" x14ac:dyDescent="0.35">
      <c r="B47" s="41" t="s">
        <v>95</v>
      </c>
      <c r="C47" s="32">
        <f>ACTUAL!B48-Budget!B49</f>
        <v>0</v>
      </c>
      <c r="D47" s="32">
        <f>ACTUAL!C48-Budget!C49</f>
        <v>0</v>
      </c>
      <c r="E47" s="32">
        <f>ACTUAL!D48-Budget!D49</f>
        <v>0</v>
      </c>
      <c r="F47" s="32">
        <f>ACTUAL!E48-Budget!E49</f>
        <v>0</v>
      </c>
      <c r="G47" s="32">
        <f>ACTUAL!F48-Budget!F49</f>
        <v>0</v>
      </c>
      <c r="H47" s="32">
        <f>ACTUAL!G48-Budget!G49</f>
        <v>0</v>
      </c>
      <c r="I47" s="32">
        <f>ACTUAL!H48-Budget!H49</f>
        <v>0</v>
      </c>
      <c r="J47" s="32">
        <f>ACTUAL!I48-Budget!I49</f>
        <v>0</v>
      </c>
      <c r="K47" s="32">
        <f>ACTUAL!J48-Budget!J49</f>
        <v>0</v>
      </c>
      <c r="L47" s="32">
        <f>ACTUAL!K48-Budget!K49</f>
        <v>0</v>
      </c>
      <c r="M47" s="32">
        <f>ACTUAL!L48-Budget!L49</f>
        <v>0</v>
      </c>
      <c r="N47" s="32">
        <f>ACTUAL!M48-Budget!M49</f>
        <v>0</v>
      </c>
      <c r="O47" s="32">
        <f>SUM(C47:N47)</f>
        <v>0</v>
      </c>
    </row>
    <row r="48" spans="2:15" ht="21" customHeight="1" x14ac:dyDescent="0.35">
      <c r="B48" s="31" t="s">
        <v>15</v>
      </c>
      <c r="C48" s="32">
        <f>ACTUAL!B49-Budget!B50</f>
        <v>0</v>
      </c>
      <c r="D48" s="32">
        <f>ACTUAL!C49-Budget!C50</f>
        <v>0</v>
      </c>
      <c r="E48" s="32">
        <f>ACTUAL!D49-Budget!D50</f>
        <v>0</v>
      </c>
      <c r="F48" s="32">
        <f>ACTUAL!E49-Budget!E50</f>
        <v>0</v>
      </c>
      <c r="G48" s="32">
        <f>ACTUAL!F49-Budget!F50</f>
        <v>0</v>
      </c>
      <c r="H48" s="32">
        <f>ACTUAL!G49-Budget!G50</f>
        <v>0</v>
      </c>
      <c r="I48" s="32">
        <f>ACTUAL!H49-Budget!H50</f>
        <v>0</v>
      </c>
      <c r="J48" s="32">
        <f>ACTUAL!I49-Budget!I50</f>
        <v>0</v>
      </c>
      <c r="K48" s="32">
        <f>ACTUAL!J49-Budget!J50</f>
        <v>0</v>
      </c>
      <c r="L48" s="32">
        <f>ACTUAL!K49-Budget!K50</f>
        <v>0</v>
      </c>
      <c r="M48" s="32">
        <f>ACTUAL!L49-Budget!L50</f>
        <v>0</v>
      </c>
      <c r="N48" s="32">
        <f>ACTUAL!M49-Budget!M50</f>
        <v>0</v>
      </c>
      <c r="O48" s="32">
        <f t="shared" si="6"/>
        <v>0</v>
      </c>
    </row>
    <row r="49" spans="2:15" ht="21" customHeight="1" x14ac:dyDescent="0.35">
      <c r="B49" s="181" t="s">
        <v>16</v>
      </c>
      <c r="C49" s="182">
        <f>C40+C41+C43+C44+C45+C46+C48</f>
        <v>0</v>
      </c>
      <c r="D49" s="182">
        <f t="shared" ref="D49:N49" si="7">D40+D41+D43+D44+D45+D46+D48</f>
        <v>0</v>
      </c>
      <c r="E49" s="182">
        <f t="shared" si="7"/>
        <v>0</v>
      </c>
      <c r="F49" s="182">
        <f t="shared" si="7"/>
        <v>0</v>
      </c>
      <c r="G49" s="182">
        <f t="shared" si="7"/>
        <v>0</v>
      </c>
      <c r="H49" s="182">
        <f t="shared" si="7"/>
        <v>0</v>
      </c>
      <c r="I49" s="182">
        <f t="shared" si="7"/>
        <v>0</v>
      </c>
      <c r="J49" s="182">
        <f t="shared" si="7"/>
        <v>0</v>
      </c>
      <c r="K49" s="182">
        <f t="shared" si="7"/>
        <v>0</v>
      </c>
      <c r="L49" s="182">
        <f t="shared" si="7"/>
        <v>0</v>
      </c>
      <c r="M49" s="182">
        <f t="shared" si="7"/>
        <v>0</v>
      </c>
      <c r="N49" s="182">
        <f t="shared" si="7"/>
        <v>0</v>
      </c>
      <c r="O49" s="182">
        <f>SUBTOTAL(109,tblEmplPlan913[YEAR])</f>
        <v>0</v>
      </c>
    </row>
    <row r="50" spans="2:15" ht="21" customHeight="1" x14ac:dyDescent="0.3">
      <c r="B50" s="205"/>
      <c r="C50" s="205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0"/>
    </row>
    <row r="51" spans="2:15" ht="21" customHeight="1" x14ac:dyDescent="0.3">
      <c r="B51" s="39" t="s">
        <v>17</v>
      </c>
      <c r="C51" s="33" t="s">
        <v>1</v>
      </c>
      <c r="D51" s="33" t="s">
        <v>2</v>
      </c>
      <c r="E51" s="34" t="s">
        <v>3</v>
      </c>
      <c r="F51" s="33" t="s">
        <v>4</v>
      </c>
      <c r="G51" s="33" t="s">
        <v>5</v>
      </c>
      <c r="H51" s="33" t="s">
        <v>6</v>
      </c>
      <c r="I51" s="33" t="s">
        <v>7</v>
      </c>
      <c r="J51" s="33" t="s">
        <v>8</v>
      </c>
      <c r="K51" s="33" t="s">
        <v>9</v>
      </c>
      <c r="L51" s="33" t="s">
        <v>10</v>
      </c>
      <c r="M51" s="33" t="s">
        <v>11</v>
      </c>
      <c r="N51" s="33" t="s">
        <v>12</v>
      </c>
      <c r="O51" s="33" t="s">
        <v>13</v>
      </c>
    </row>
    <row r="52" spans="2:15" ht="21" customHeight="1" x14ac:dyDescent="0.35">
      <c r="B52" s="31" t="s">
        <v>28</v>
      </c>
      <c r="C52" s="65">
        <f>ACTUAL!B53-Budget!B54</f>
        <v>0</v>
      </c>
      <c r="D52" s="65">
        <f>ACTUAL!C53-Budget!C54</f>
        <v>0</v>
      </c>
      <c r="E52" s="65">
        <f>ACTUAL!D53-Budget!D54</f>
        <v>0</v>
      </c>
      <c r="F52" s="65">
        <f>ACTUAL!E53-Budget!E54</f>
        <v>0</v>
      </c>
      <c r="G52" s="65">
        <f>ACTUAL!F53-Budget!F54</f>
        <v>0</v>
      </c>
      <c r="H52" s="65">
        <f>ACTUAL!G53-Budget!G54</f>
        <v>0</v>
      </c>
      <c r="I52" s="65">
        <f>ACTUAL!H53-Budget!H54</f>
        <v>0</v>
      </c>
      <c r="J52" s="65">
        <f>ACTUAL!I53-Budget!I54</f>
        <v>0</v>
      </c>
      <c r="K52" s="65">
        <f>ACTUAL!J53-Budget!J54</f>
        <v>0</v>
      </c>
      <c r="L52" s="65">
        <f>ACTUAL!K53-Budget!K54</f>
        <v>0</v>
      </c>
      <c r="M52" s="65">
        <f>ACTUAL!L53-Budget!L54</f>
        <v>0</v>
      </c>
      <c r="N52" s="65">
        <f>ACTUAL!M53-Budget!M54</f>
        <v>0</v>
      </c>
      <c r="O52" s="65">
        <f t="shared" ref="O52:O69" si="8">SUM(C52:N52)</f>
        <v>0</v>
      </c>
    </row>
    <row r="53" spans="2:15" ht="21" customHeight="1" x14ac:dyDescent="0.35">
      <c r="B53" s="31" t="s">
        <v>29</v>
      </c>
      <c r="C53" s="65">
        <f>ACTUAL!B54-Budget!B55</f>
        <v>0</v>
      </c>
      <c r="D53" s="65">
        <f>ACTUAL!C54-Budget!C55</f>
        <v>0</v>
      </c>
      <c r="E53" s="65">
        <f>ACTUAL!D54-Budget!D55</f>
        <v>0</v>
      </c>
      <c r="F53" s="65">
        <f>ACTUAL!E54-Budget!E55</f>
        <v>0</v>
      </c>
      <c r="G53" s="65">
        <f>ACTUAL!F54-Budget!F55</f>
        <v>0</v>
      </c>
      <c r="H53" s="65">
        <f>ACTUAL!G54-Budget!G55</f>
        <v>0</v>
      </c>
      <c r="I53" s="65">
        <f>ACTUAL!H54-Budget!H55</f>
        <v>0</v>
      </c>
      <c r="J53" s="65">
        <f>ACTUAL!I54-Budget!I55</f>
        <v>0</v>
      </c>
      <c r="K53" s="65">
        <f>ACTUAL!J54-Budget!J55</f>
        <v>0</v>
      </c>
      <c r="L53" s="65">
        <f>ACTUAL!K54-Budget!K55</f>
        <v>0</v>
      </c>
      <c r="M53" s="65">
        <f>ACTUAL!L54-Budget!L55</f>
        <v>0</v>
      </c>
      <c r="N53" s="65">
        <f>ACTUAL!M54-Budget!M55</f>
        <v>0</v>
      </c>
      <c r="O53" s="65">
        <f t="shared" si="8"/>
        <v>0</v>
      </c>
    </row>
    <row r="54" spans="2:15" ht="21" customHeight="1" x14ac:dyDescent="0.35">
      <c r="B54" s="31" t="s">
        <v>30</v>
      </c>
      <c r="C54" s="65">
        <f>ACTUAL!B55-Budget!B56</f>
        <v>0</v>
      </c>
      <c r="D54" s="65">
        <f>ACTUAL!C55-Budget!C56</f>
        <v>0</v>
      </c>
      <c r="E54" s="65">
        <f>ACTUAL!D55-Budget!D56</f>
        <v>0</v>
      </c>
      <c r="F54" s="65">
        <f>ACTUAL!E55-Budget!E56</f>
        <v>0</v>
      </c>
      <c r="G54" s="65">
        <f>ACTUAL!F55-Budget!F56</f>
        <v>0</v>
      </c>
      <c r="H54" s="65">
        <f>ACTUAL!G55-Budget!G56</f>
        <v>0</v>
      </c>
      <c r="I54" s="65">
        <f>ACTUAL!H55-Budget!H56</f>
        <v>0</v>
      </c>
      <c r="J54" s="65">
        <f>ACTUAL!I55-Budget!I56</f>
        <v>0</v>
      </c>
      <c r="K54" s="65">
        <f>ACTUAL!J55-Budget!J56</f>
        <v>0</v>
      </c>
      <c r="L54" s="65">
        <f>ACTUAL!K55-Budget!K56</f>
        <v>0</v>
      </c>
      <c r="M54" s="65">
        <f>ACTUAL!L55-Budget!L56</f>
        <v>0</v>
      </c>
      <c r="N54" s="65">
        <f>ACTUAL!M55-Budget!M56</f>
        <v>0</v>
      </c>
      <c r="O54" s="65">
        <f t="shared" si="8"/>
        <v>0</v>
      </c>
    </row>
    <row r="55" spans="2:15" ht="21" customHeight="1" x14ac:dyDescent="0.35">
      <c r="B55" s="31" t="s">
        <v>44</v>
      </c>
      <c r="C55" s="65">
        <f>ACTUAL!B56-Budget!B57</f>
        <v>0</v>
      </c>
      <c r="D55" s="65">
        <f>ACTUAL!C56-Budget!C57</f>
        <v>0</v>
      </c>
      <c r="E55" s="65">
        <f>ACTUAL!D56-Budget!D57</f>
        <v>0</v>
      </c>
      <c r="F55" s="65">
        <f>ACTUAL!E56-Budget!E57</f>
        <v>0</v>
      </c>
      <c r="G55" s="65">
        <f>ACTUAL!F56-Budget!F57</f>
        <v>0</v>
      </c>
      <c r="H55" s="65">
        <f>ACTUAL!G56-Budget!G57</f>
        <v>0</v>
      </c>
      <c r="I55" s="65">
        <f>ACTUAL!H56-Budget!H57</f>
        <v>0</v>
      </c>
      <c r="J55" s="65">
        <f>ACTUAL!I56-Budget!I57</f>
        <v>0</v>
      </c>
      <c r="K55" s="65">
        <f>ACTUAL!J56-Budget!J57</f>
        <v>0</v>
      </c>
      <c r="L55" s="65">
        <f>ACTUAL!K56-Budget!K57</f>
        <v>0</v>
      </c>
      <c r="M55" s="65">
        <f>ACTUAL!L56-Budget!L57</f>
        <v>0</v>
      </c>
      <c r="N55" s="65">
        <f>ACTUAL!M56-Budget!M57</f>
        <v>0</v>
      </c>
      <c r="O55" s="65">
        <f t="shared" si="8"/>
        <v>0</v>
      </c>
    </row>
    <row r="56" spans="2:15" ht="21" customHeight="1" x14ac:dyDescent="0.35">
      <c r="B56" s="31" t="s">
        <v>31</v>
      </c>
      <c r="C56" s="65">
        <f>ACTUAL!B57-Budget!B58</f>
        <v>0</v>
      </c>
      <c r="D56" s="65">
        <f>ACTUAL!C57-Budget!C58</f>
        <v>0</v>
      </c>
      <c r="E56" s="65">
        <f>ACTUAL!D57-Budget!D58</f>
        <v>0</v>
      </c>
      <c r="F56" s="65">
        <f>ACTUAL!E57-Budget!E58</f>
        <v>0</v>
      </c>
      <c r="G56" s="65">
        <f>ACTUAL!F57-Budget!F58</f>
        <v>0</v>
      </c>
      <c r="H56" s="65">
        <f>ACTUAL!G57-Budget!G58</f>
        <v>0</v>
      </c>
      <c r="I56" s="65">
        <f>ACTUAL!H57-Budget!H58</f>
        <v>0</v>
      </c>
      <c r="J56" s="65">
        <f>ACTUAL!I57-Budget!I58</f>
        <v>0</v>
      </c>
      <c r="K56" s="65">
        <f>ACTUAL!J57-Budget!J58</f>
        <v>0</v>
      </c>
      <c r="L56" s="65">
        <f>ACTUAL!K57-Budget!K58</f>
        <v>0</v>
      </c>
      <c r="M56" s="65">
        <f>ACTUAL!L57-Budget!L58</f>
        <v>0</v>
      </c>
      <c r="N56" s="65">
        <f>ACTUAL!M57-Budget!M58</f>
        <v>0</v>
      </c>
      <c r="O56" s="65">
        <f t="shared" si="8"/>
        <v>0</v>
      </c>
    </row>
    <row r="57" spans="2:15" ht="21" customHeight="1" x14ac:dyDescent="0.35">
      <c r="B57" s="31" t="s">
        <v>93</v>
      </c>
      <c r="C57" s="65">
        <f>ACTUAL!B59-Budget!B60</f>
        <v>0</v>
      </c>
      <c r="D57" s="65">
        <f>ACTUAL!C59-Budget!C60</f>
        <v>0</v>
      </c>
      <c r="E57" s="65">
        <f>ACTUAL!D59-Budget!D60</f>
        <v>0</v>
      </c>
      <c r="F57" s="65">
        <f>ACTUAL!E59-Budget!E60</f>
        <v>0</v>
      </c>
      <c r="G57" s="65">
        <f>ACTUAL!F59-Budget!F60</f>
        <v>0</v>
      </c>
      <c r="H57" s="65">
        <f>ACTUAL!G59-Budget!G60</f>
        <v>0</v>
      </c>
      <c r="I57" s="65">
        <f>ACTUAL!H59-Budget!H60</f>
        <v>0</v>
      </c>
      <c r="J57" s="65">
        <f>ACTUAL!I59-Budget!I60</f>
        <v>0</v>
      </c>
      <c r="K57" s="65">
        <f>ACTUAL!J59-Budget!J60</f>
        <v>0</v>
      </c>
      <c r="L57" s="65">
        <f>ACTUAL!K59-Budget!K60</f>
        <v>0</v>
      </c>
      <c r="M57" s="65">
        <f>ACTUAL!L59-Budget!L60</f>
        <v>0</v>
      </c>
      <c r="N57" s="65">
        <f>ACTUAL!M59-Budget!M60</f>
        <v>0</v>
      </c>
      <c r="O57" s="65">
        <f>SUM(C57:N57)</f>
        <v>0</v>
      </c>
    </row>
    <row r="58" spans="2:15" ht="21" customHeight="1" x14ac:dyDescent="0.35">
      <c r="B58" s="31" t="s">
        <v>45</v>
      </c>
      <c r="C58" s="65">
        <f>ACTUAL!B60-Budget!B61</f>
        <v>0</v>
      </c>
      <c r="D58" s="65">
        <f>ACTUAL!C60-Budget!C61</f>
        <v>0</v>
      </c>
      <c r="E58" s="65">
        <f>ACTUAL!D60-Budget!D61</f>
        <v>0</v>
      </c>
      <c r="F58" s="65">
        <f>ACTUAL!E60-Budget!E61</f>
        <v>0</v>
      </c>
      <c r="G58" s="65">
        <f>ACTUAL!F60-Budget!F61</f>
        <v>0</v>
      </c>
      <c r="H58" s="65">
        <f>ACTUAL!G60-Budget!G61</f>
        <v>0</v>
      </c>
      <c r="I58" s="65">
        <f>ACTUAL!H60-Budget!H61</f>
        <v>0</v>
      </c>
      <c r="J58" s="65">
        <f>ACTUAL!I60-Budget!I61</f>
        <v>0</v>
      </c>
      <c r="K58" s="65">
        <f>ACTUAL!J60-Budget!J61</f>
        <v>0</v>
      </c>
      <c r="L58" s="65">
        <f>ACTUAL!K60-Budget!K61</f>
        <v>0</v>
      </c>
      <c r="M58" s="65">
        <f>ACTUAL!L60-Budget!L61</f>
        <v>0</v>
      </c>
      <c r="N58" s="65">
        <f>ACTUAL!M60-Budget!M61</f>
        <v>0</v>
      </c>
      <c r="O58" s="65">
        <f>SUM(C58:N58)</f>
        <v>0</v>
      </c>
    </row>
    <row r="59" spans="2:15" ht="21" customHeight="1" x14ac:dyDescent="0.35">
      <c r="B59" s="31" t="s">
        <v>32</v>
      </c>
      <c r="C59" s="65">
        <f>ACTUAL!B61-Budget!B62</f>
        <v>0</v>
      </c>
      <c r="D59" s="65">
        <f>ACTUAL!C61-Budget!C62</f>
        <v>0</v>
      </c>
      <c r="E59" s="65">
        <f>ACTUAL!D61-Budget!D62</f>
        <v>0</v>
      </c>
      <c r="F59" s="65">
        <f>ACTUAL!E61-Budget!E62</f>
        <v>0</v>
      </c>
      <c r="G59" s="65">
        <f>ACTUAL!F61-Budget!F62</f>
        <v>0</v>
      </c>
      <c r="H59" s="65">
        <f>ACTUAL!G61-Budget!G62</f>
        <v>0</v>
      </c>
      <c r="I59" s="65">
        <f>ACTUAL!H61-Budget!H62</f>
        <v>0</v>
      </c>
      <c r="J59" s="65">
        <f>ACTUAL!I61-Budget!I62</f>
        <v>0</v>
      </c>
      <c r="K59" s="65">
        <f>ACTUAL!J61-Budget!J62</f>
        <v>0</v>
      </c>
      <c r="L59" s="65">
        <f>ACTUAL!K61-Budget!K62</f>
        <v>0</v>
      </c>
      <c r="M59" s="65">
        <f>ACTUAL!L61-Budget!L62</f>
        <v>0</v>
      </c>
      <c r="N59" s="65">
        <f>ACTUAL!M61-Budget!M62</f>
        <v>0</v>
      </c>
      <c r="O59" s="65">
        <f t="shared" si="8"/>
        <v>0</v>
      </c>
    </row>
    <row r="60" spans="2:15" ht="21" customHeight="1" x14ac:dyDescent="0.35">
      <c r="B60" s="31" t="s">
        <v>27</v>
      </c>
      <c r="C60" s="65">
        <f>ACTUAL!B62-Budget!B63</f>
        <v>0</v>
      </c>
      <c r="D60" s="65">
        <f>ACTUAL!C62-Budget!C63</f>
        <v>0</v>
      </c>
      <c r="E60" s="65">
        <f>ACTUAL!D62-Budget!D63</f>
        <v>0</v>
      </c>
      <c r="F60" s="65">
        <f>ACTUAL!E62-Budget!E63</f>
        <v>0</v>
      </c>
      <c r="G60" s="65">
        <f>ACTUAL!F62-Budget!F63</f>
        <v>0</v>
      </c>
      <c r="H60" s="65">
        <f>ACTUAL!G62-Budget!G63</f>
        <v>0</v>
      </c>
      <c r="I60" s="65">
        <f>ACTUAL!H62-Budget!H63</f>
        <v>0</v>
      </c>
      <c r="J60" s="65">
        <f>ACTUAL!I62-Budget!I63</f>
        <v>0</v>
      </c>
      <c r="K60" s="65">
        <f>ACTUAL!J62-Budget!J63</f>
        <v>0</v>
      </c>
      <c r="L60" s="65">
        <f>ACTUAL!K62-Budget!K63</f>
        <v>0</v>
      </c>
      <c r="M60" s="65">
        <f>ACTUAL!L62-Budget!L63</f>
        <v>0</v>
      </c>
      <c r="N60" s="65">
        <f>ACTUAL!M62-Budget!M63</f>
        <v>0</v>
      </c>
      <c r="O60" s="65">
        <f t="shared" si="8"/>
        <v>0</v>
      </c>
    </row>
    <row r="61" spans="2:15" ht="21" customHeight="1" x14ac:dyDescent="0.35">
      <c r="B61" s="31" t="s">
        <v>33</v>
      </c>
      <c r="C61" s="65">
        <f>ACTUAL!B63-Budget!B64</f>
        <v>0</v>
      </c>
      <c r="D61" s="65">
        <f>ACTUAL!C63-Budget!C64</f>
        <v>0</v>
      </c>
      <c r="E61" s="65">
        <f>ACTUAL!D63-Budget!D64</f>
        <v>0</v>
      </c>
      <c r="F61" s="65">
        <f>ACTUAL!E63-Budget!E64</f>
        <v>0</v>
      </c>
      <c r="G61" s="65">
        <f>ACTUAL!F63-Budget!F64</f>
        <v>0</v>
      </c>
      <c r="H61" s="65">
        <f>ACTUAL!G63-Budget!G64</f>
        <v>0</v>
      </c>
      <c r="I61" s="65">
        <f>ACTUAL!H63-Budget!H64</f>
        <v>0</v>
      </c>
      <c r="J61" s="65">
        <f>ACTUAL!I63-Budget!I64</f>
        <v>0</v>
      </c>
      <c r="K61" s="65">
        <f>ACTUAL!J63-Budget!J64</f>
        <v>0</v>
      </c>
      <c r="L61" s="65">
        <f>ACTUAL!K63-Budget!K64</f>
        <v>0</v>
      </c>
      <c r="M61" s="65">
        <f>ACTUAL!L63-Budget!L64</f>
        <v>0</v>
      </c>
      <c r="N61" s="65">
        <f>ACTUAL!M63-Budget!M64</f>
        <v>0</v>
      </c>
      <c r="O61" s="65">
        <f t="shared" ref="O61:O66" si="9">SUM(C61:N61)</f>
        <v>0</v>
      </c>
    </row>
    <row r="62" spans="2:15" ht="21" customHeight="1" x14ac:dyDescent="0.35">
      <c r="B62" s="31" t="s">
        <v>34</v>
      </c>
      <c r="C62" s="65">
        <f>ACTUAL!B64-Budget!B65</f>
        <v>0</v>
      </c>
      <c r="D62" s="65">
        <f>ACTUAL!C64-Budget!C65</f>
        <v>0</v>
      </c>
      <c r="E62" s="65">
        <f>ACTUAL!D64-Budget!D65</f>
        <v>0</v>
      </c>
      <c r="F62" s="65">
        <f>ACTUAL!E64-Budget!E65</f>
        <v>0</v>
      </c>
      <c r="G62" s="65">
        <f>ACTUAL!F64-Budget!F65</f>
        <v>0</v>
      </c>
      <c r="H62" s="65">
        <f>ACTUAL!G64-Budget!G65</f>
        <v>0</v>
      </c>
      <c r="I62" s="65">
        <f>ACTUAL!H64-Budget!H65</f>
        <v>0</v>
      </c>
      <c r="J62" s="65">
        <f>ACTUAL!I64-Budget!I65</f>
        <v>0</v>
      </c>
      <c r="K62" s="65">
        <f>ACTUAL!J64-Budget!J65</f>
        <v>0</v>
      </c>
      <c r="L62" s="65">
        <f>ACTUAL!K64-Budget!K65</f>
        <v>0</v>
      </c>
      <c r="M62" s="65">
        <f>ACTUAL!L64-Budget!L65</f>
        <v>0</v>
      </c>
      <c r="N62" s="65">
        <f>ACTUAL!M64-Budget!M65</f>
        <v>0</v>
      </c>
      <c r="O62" s="65">
        <f t="shared" si="9"/>
        <v>0</v>
      </c>
    </row>
    <row r="63" spans="2:15" ht="21" customHeight="1" x14ac:dyDescent="0.35">
      <c r="B63" s="31" t="s">
        <v>46</v>
      </c>
      <c r="C63" s="65">
        <f>ACTUAL!B65-Budget!B66</f>
        <v>0</v>
      </c>
      <c r="D63" s="65">
        <f>ACTUAL!C65-Budget!C66</f>
        <v>0</v>
      </c>
      <c r="E63" s="65">
        <f>ACTUAL!D65-Budget!D66</f>
        <v>0</v>
      </c>
      <c r="F63" s="65">
        <f>ACTUAL!E65-Budget!E66</f>
        <v>0</v>
      </c>
      <c r="G63" s="65">
        <f>ACTUAL!F65-Budget!F66</f>
        <v>0</v>
      </c>
      <c r="H63" s="65">
        <f>ACTUAL!G65-Budget!G66</f>
        <v>0</v>
      </c>
      <c r="I63" s="65">
        <f>ACTUAL!H65-Budget!H66</f>
        <v>0</v>
      </c>
      <c r="J63" s="65">
        <f>ACTUAL!I65-Budget!I66</f>
        <v>0</v>
      </c>
      <c r="K63" s="65">
        <f>ACTUAL!J65-Budget!J66</f>
        <v>0</v>
      </c>
      <c r="L63" s="65">
        <f>ACTUAL!K65-Budget!K66</f>
        <v>0</v>
      </c>
      <c r="M63" s="65">
        <f>ACTUAL!L65-Budget!L66</f>
        <v>0</v>
      </c>
      <c r="N63" s="65">
        <f>ACTUAL!M65-Budget!M66</f>
        <v>0</v>
      </c>
      <c r="O63" s="65">
        <f t="shared" si="9"/>
        <v>0</v>
      </c>
    </row>
    <row r="64" spans="2:15" ht="21" customHeight="1" x14ac:dyDescent="0.35">
      <c r="B64" s="31" t="s">
        <v>35</v>
      </c>
      <c r="C64" s="65">
        <f>ACTUAL!B66-Budget!B67</f>
        <v>0</v>
      </c>
      <c r="D64" s="65">
        <f>ACTUAL!C66-Budget!C67</f>
        <v>0</v>
      </c>
      <c r="E64" s="65">
        <f>ACTUAL!D66-Budget!D67</f>
        <v>0</v>
      </c>
      <c r="F64" s="65">
        <f>ACTUAL!E66-Budget!E67</f>
        <v>0</v>
      </c>
      <c r="G64" s="65">
        <f>ACTUAL!F66-Budget!F67</f>
        <v>0</v>
      </c>
      <c r="H64" s="65">
        <f>ACTUAL!G66-Budget!G67</f>
        <v>0</v>
      </c>
      <c r="I64" s="65">
        <f>ACTUAL!H66-Budget!H67</f>
        <v>0</v>
      </c>
      <c r="J64" s="65">
        <f>ACTUAL!I66-Budget!I67</f>
        <v>0</v>
      </c>
      <c r="K64" s="65">
        <f>ACTUAL!J66-Budget!J67</f>
        <v>0</v>
      </c>
      <c r="L64" s="65">
        <f>ACTUAL!K66-Budget!K67</f>
        <v>0</v>
      </c>
      <c r="M64" s="65">
        <f>ACTUAL!L66-Budget!L67</f>
        <v>0</v>
      </c>
      <c r="N64" s="65">
        <f>ACTUAL!M66-Budget!M67</f>
        <v>0</v>
      </c>
      <c r="O64" s="65">
        <f t="shared" si="9"/>
        <v>0</v>
      </c>
    </row>
    <row r="65" spans="2:15" ht="21" customHeight="1" x14ac:dyDescent="0.35">
      <c r="B65" s="31" t="s">
        <v>36</v>
      </c>
      <c r="C65" s="65">
        <f>ACTUAL!B67-Budget!B68</f>
        <v>0</v>
      </c>
      <c r="D65" s="65">
        <f>ACTUAL!C67-Budget!C68</f>
        <v>0</v>
      </c>
      <c r="E65" s="65">
        <f>ACTUAL!D67-Budget!D68</f>
        <v>0</v>
      </c>
      <c r="F65" s="65">
        <f>ACTUAL!E67-Budget!E68</f>
        <v>0</v>
      </c>
      <c r="G65" s="65">
        <f>ACTUAL!F67-Budget!F68</f>
        <v>0</v>
      </c>
      <c r="H65" s="65">
        <f>ACTUAL!G67-Budget!G68</f>
        <v>0</v>
      </c>
      <c r="I65" s="65">
        <f>ACTUAL!H67-Budget!H68</f>
        <v>0</v>
      </c>
      <c r="J65" s="65">
        <f>ACTUAL!I67-Budget!I68</f>
        <v>0</v>
      </c>
      <c r="K65" s="65">
        <f>ACTUAL!J67-Budget!J68</f>
        <v>0</v>
      </c>
      <c r="L65" s="65">
        <f>ACTUAL!K67-Budget!K68</f>
        <v>0</v>
      </c>
      <c r="M65" s="65">
        <f>ACTUAL!L67-Budget!L68</f>
        <v>0</v>
      </c>
      <c r="N65" s="65">
        <f>ACTUAL!M67-Budget!M68</f>
        <v>0</v>
      </c>
      <c r="O65" s="65">
        <f t="shared" si="9"/>
        <v>0</v>
      </c>
    </row>
    <row r="66" spans="2:15" ht="21" customHeight="1" x14ac:dyDescent="0.35">
      <c r="B66" s="31" t="s">
        <v>37</v>
      </c>
      <c r="C66" s="65">
        <f>ACTUAL!B68-Budget!B69</f>
        <v>0</v>
      </c>
      <c r="D66" s="65">
        <f>ACTUAL!C68-Budget!C69</f>
        <v>0</v>
      </c>
      <c r="E66" s="65">
        <f>ACTUAL!D68-Budget!D69</f>
        <v>0</v>
      </c>
      <c r="F66" s="65">
        <f>ACTUAL!E68-Budget!E69</f>
        <v>0</v>
      </c>
      <c r="G66" s="65">
        <f>ACTUAL!F68-Budget!F69</f>
        <v>0</v>
      </c>
      <c r="H66" s="65">
        <f>ACTUAL!G68-Budget!G69</f>
        <v>0</v>
      </c>
      <c r="I66" s="65">
        <f>ACTUAL!H68-Budget!H69</f>
        <v>0</v>
      </c>
      <c r="J66" s="65">
        <f>ACTUAL!I68-Budget!I69</f>
        <v>0</v>
      </c>
      <c r="K66" s="65">
        <f>ACTUAL!J68-Budget!J69</f>
        <v>0</v>
      </c>
      <c r="L66" s="65">
        <f>ACTUAL!K68-Budget!K69</f>
        <v>0</v>
      </c>
      <c r="M66" s="65">
        <f>ACTUAL!L68-Budget!L69</f>
        <v>0</v>
      </c>
      <c r="N66" s="65">
        <f>ACTUAL!M68-Budget!M69</f>
        <v>0</v>
      </c>
      <c r="O66" s="65">
        <f t="shared" si="9"/>
        <v>0</v>
      </c>
    </row>
    <row r="67" spans="2:15" ht="21" customHeight="1" x14ac:dyDescent="0.35">
      <c r="B67" s="31" t="s">
        <v>51</v>
      </c>
      <c r="C67" s="65">
        <f>ACTUAL!B69-Budget!B70</f>
        <v>0</v>
      </c>
      <c r="D67" s="65">
        <f>ACTUAL!C69-Budget!C70</f>
        <v>0</v>
      </c>
      <c r="E67" s="65">
        <f>ACTUAL!D69-Budget!D70</f>
        <v>0</v>
      </c>
      <c r="F67" s="65">
        <f>ACTUAL!E69-Budget!E70</f>
        <v>0</v>
      </c>
      <c r="G67" s="65">
        <f>ACTUAL!F69-Budget!F70</f>
        <v>0</v>
      </c>
      <c r="H67" s="65">
        <f>ACTUAL!G69-Budget!G70</f>
        <v>0</v>
      </c>
      <c r="I67" s="65">
        <f>ACTUAL!H69-Budget!H70</f>
        <v>0</v>
      </c>
      <c r="J67" s="65">
        <f>ACTUAL!I69-Budget!I70</f>
        <v>0</v>
      </c>
      <c r="K67" s="65">
        <f>ACTUAL!J69-Budget!J70</f>
        <v>0</v>
      </c>
      <c r="L67" s="65">
        <f>ACTUAL!K69-Budget!K70</f>
        <v>0</v>
      </c>
      <c r="M67" s="65">
        <f>ACTUAL!L69-Budget!L70</f>
        <v>0</v>
      </c>
      <c r="N67" s="65">
        <f>ACTUAL!M69-Budget!M70</f>
        <v>0</v>
      </c>
      <c r="O67" s="65">
        <f>SUM(C67:N67)</f>
        <v>0</v>
      </c>
    </row>
    <row r="68" spans="2:15" ht="21" customHeight="1" x14ac:dyDescent="0.35">
      <c r="B68" s="31" t="s">
        <v>52</v>
      </c>
      <c r="C68" s="65">
        <f>ACTUAL!B70-Budget!B71</f>
        <v>0</v>
      </c>
      <c r="D68" s="65">
        <f>ACTUAL!C70-Budget!C71</f>
        <v>0</v>
      </c>
      <c r="E68" s="65">
        <f>ACTUAL!D70-Budget!D71</f>
        <v>0</v>
      </c>
      <c r="F68" s="65">
        <f>ACTUAL!E70-Budget!E71</f>
        <v>0</v>
      </c>
      <c r="G68" s="65">
        <f>ACTUAL!F70-Budget!F71</f>
        <v>0</v>
      </c>
      <c r="H68" s="65">
        <f>ACTUAL!G70-Budget!G71</f>
        <v>0</v>
      </c>
      <c r="I68" s="65">
        <f>ACTUAL!H70-Budget!H71</f>
        <v>0</v>
      </c>
      <c r="J68" s="65">
        <f>ACTUAL!I70-Budget!I71</f>
        <v>0</v>
      </c>
      <c r="K68" s="65">
        <f>ACTUAL!J70-Budget!J71</f>
        <v>0</v>
      </c>
      <c r="L68" s="65">
        <f>ACTUAL!K70-Budget!K71</f>
        <v>0</v>
      </c>
      <c r="M68" s="65">
        <f>ACTUAL!L70-Budget!L71</f>
        <v>0</v>
      </c>
      <c r="N68" s="65">
        <f>ACTUAL!M70-Budget!M71</f>
        <v>0</v>
      </c>
      <c r="O68" s="65">
        <f>SUM(C68:N68)</f>
        <v>0</v>
      </c>
    </row>
    <row r="69" spans="2:15" ht="21" customHeight="1" x14ac:dyDescent="0.35">
      <c r="B69" s="31" t="s">
        <v>49</v>
      </c>
      <c r="C69" s="65">
        <f>ACTUAL!B71-Budget!B72</f>
        <v>0</v>
      </c>
      <c r="D69" s="65">
        <f>ACTUAL!C71-Budget!C72</f>
        <v>0</v>
      </c>
      <c r="E69" s="65">
        <f>ACTUAL!D71-Budget!D72</f>
        <v>0</v>
      </c>
      <c r="F69" s="65">
        <f>ACTUAL!E71-Budget!E72</f>
        <v>0</v>
      </c>
      <c r="G69" s="65">
        <f>ACTUAL!F71-Budget!F72</f>
        <v>0</v>
      </c>
      <c r="H69" s="65">
        <f>ACTUAL!G71-Budget!G72</f>
        <v>0</v>
      </c>
      <c r="I69" s="65">
        <f>ACTUAL!H71-Budget!H72</f>
        <v>0</v>
      </c>
      <c r="J69" s="65">
        <f>ACTUAL!I71-Budget!I72</f>
        <v>0</v>
      </c>
      <c r="K69" s="65">
        <f>ACTUAL!J71-Budget!J72</f>
        <v>0</v>
      </c>
      <c r="L69" s="65">
        <f>ACTUAL!K71-Budget!K72</f>
        <v>0</v>
      </c>
      <c r="M69" s="65">
        <f>ACTUAL!L71-Budget!L72</f>
        <v>0</v>
      </c>
      <c r="N69" s="65">
        <f>ACTUAL!M71-Budget!M72</f>
        <v>0</v>
      </c>
      <c r="O69" s="65">
        <f t="shared" si="8"/>
        <v>0</v>
      </c>
    </row>
    <row r="70" spans="2:15" ht="21" customHeight="1" x14ac:dyDescent="0.35">
      <c r="B70" s="40" t="s">
        <v>16</v>
      </c>
      <c r="C70" s="98">
        <f>SUBTOTAL(109,tblOffPlan510[Jan])</f>
        <v>0</v>
      </c>
      <c r="D70" s="98">
        <f>SUBTOTAL(109,tblOffPlan510[Feb])</f>
        <v>0</v>
      </c>
      <c r="E70" s="98">
        <f>SUBTOTAL(109,tblOffPlan510[Mar])</f>
        <v>0</v>
      </c>
      <c r="F70" s="98">
        <f>SUBTOTAL(109,tblOffPlan510[Apr])</f>
        <v>0</v>
      </c>
      <c r="G70" s="98">
        <f>SUBTOTAL(109,tblOffPlan510[May])</f>
        <v>0</v>
      </c>
      <c r="H70" s="98">
        <f>SUBTOTAL(109,tblOffPlan510[Jun])</f>
        <v>0</v>
      </c>
      <c r="I70" s="98">
        <f>SUBTOTAL(109,tblOffPlan510[Jul])</f>
        <v>0</v>
      </c>
      <c r="J70" s="98">
        <f>SUBTOTAL(109,tblOffPlan510[Aug])</f>
        <v>0</v>
      </c>
      <c r="K70" s="98">
        <f>SUBTOTAL(109,tblOffPlan510[Sep])</f>
        <v>0</v>
      </c>
      <c r="L70" s="98">
        <f>SUBTOTAL(109,tblOffPlan510[Oct])</f>
        <v>0</v>
      </c>
      <c r="M70" s="98">
        <f>SUBTOTAL(109,tblOffPlan510[Nov])</f>
        <v>0</v>
      </c>
      <c r="N70" s="98">
        <f>SUBTOTAL(109,tblOffPlan510[Dec])</f>
        <v>0</v>
      </c>
      <c r="O70" s="98">
        <f>SUBTOTAL(109,tblOffPlan510[YEAR])</f>
        <v>0</v>
      </c>
    </row>
    <row r="71" spans="2:15" ht="21" customHeight="1" x14ac:dyDescent="0.3">
      <c r="B71" s="204"/>
      <c r="C71" s="204"/>
      <c r="D71" s="9"/>
      <c r="E71" s="9"/>
      <c r="F71" s="11"/>
      <c r="G71" s="11"/>
      <c r="H71" s="11"/>
      <c r="I71" s="11"/>
      <c r="J71" s="11"/>
      <c r="K71" s="11"/>
      <c r="L71" s="11"/>
      <c r="M71" s="11"/>
      <c r="N71" s="11"/>
      <c r="O71" s="10"/>
    </row>
    <row r="72" spans="2:15" ht="21" customHeight="1" x14ac:dyDescent="0.3">
      <c r="B72" s="39" t="s">
        <v>38</v>
      </c>
      <c r="C72" s="33" t="s">
        <v>1</v>
      </c>
      <c r="D72" s="33" t="s">
        <v>2</v>
      </c>
      <c r="E72" s="34" t="s">
        <v>3</v>
      </c>
      <c r="F72" s="33" t="s">
        <v>4</v>
      </c>
      <c r="G72" s="33" t="s">
        <v>5</v>
      </c>
      <c r="H72" s="33" t="s">
        <v>6</v>
      </c>
      <c r="I72" s="33" t="s">
        <v>7</v>
      </c>
      <c r="J72" s="33" t="s">
        <v>8</v>
      </c>
      <c r="K72" s="33" t="s">
        <v>9</v>
      </c>
      <c r="L72" s="33" t="s">
        <v>10</v>
      </c>
      <c r="M72" s="33" t="s">
        <v>11</v>
      </c>
      <c r="N72" s="33" t="s">
        <v>12</v>
      </c>
      <c r="O72" s="33" t="s">
        <v>13</v>
      </c>
    </row>
    <row r="73" spans="2:15" ht="21" customHeight="1" x14ac:dyDescent="0.35">
      <c r="B73" s="30" t="s">
        <v>94</v>
      </c>
      <c r="C73" s="65">
        <f>ACTUAL!B75-Budget!B76</f>
        <v>0</v>
      </c>
      <c r="D73" s="65">
        <f>ACTUAL!C75-Budget!C76</f>
        <v>0</v>
      </c>
      <c r="E73" s="65" t="e">
        <f>ACTUAL!D75-Budget!D76</f>
        <v>#REF!</v>
      </c>
      <c r="F73" s="65" t="e">
        <f>ACTUAL!E75-Budget!E76</f>
        <v>#REF!</v>
      </c>
      <c r="G73" s="65" t="e">
        <f>ACTUAL!F75-Budget!F76</f>
        <v>#REF!</v>
      </c>
      <c r="H73" s="65" t="e">
        <f>ACTUAL!G75-Budget!G76</f>
        <v>#REF!</v>
      </c>
      <c r="I73" s="65" t="e">
        <f>ACTUAL!H75-Budget!H76</f>
        <v>#REF!</v>
      </c>
      <c r="J73" s="65" t="e">
        <f>ACTUAL!I75-Budget!I76</f>
        <v>#REF!</v>
      </c>
      <c r="K73" s="65" t="e">
        <f>ACTUAL!J75-Budget!J76</f>
        <v>#REF!</v>
      </c>
      <c r="L73" s="65" t="e">
        <f>ACTUAL!K75-Budget!K76</f>
        <v>#REF!</v>
      </c>
      <c r="M73" s="65" t="e">
        <f>ACTUAL!L75-Budget!L76</f>
        <v>#REF!</v>
      </c>
      <c r="N73" s="65" t="e">
        <f>ACTUAL!M75-Budget!M76</f>
        <v>#REF!</v>
      </c>
      <c r="O73" s="97" t="e">
        <f>SUM(C73:N73)</f>
        <v>#REF!</v>
      </c>
    </row>
    <row r="74" spans="2:15" ht="21" customHeight="1" x14ac:dyDescent="0.35">
      <c r="B74" s="30" t="s">
        <v>105</v>
      </c>
      <c r="C74" s="65">
        <f>ACTUAL!B76-Budget!B77</f>
        <v>0</v>
      </c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97">
        <f>SUM(C74:N74)</f>
        <v>0</v>
      </c>
    </row>
    <row r="75" spans="2:15" ht="21" customHeight="1" x14ac:dyDescent="0.35">
      <c r="B75" s="31" t="s">
        <v>39</v>
      </c>
      <c r="C75" s="65">
        <f>ACTUAL!B77-Budget!B78</f>
        <v>0</v>
      </c>
      <c r="D75" s="65">
        <f>ACTUAL!C77-Budget!C78</f>
        <v>0</v>
      </c>
      <c r="E75" s="65">
        <f>ACTUAL!D77-Budget!D78</f>
        <v>0</v>
      </c>
      <c r="F75" s="65">
        <f>ACTUAL!E77-Budget!E78</f>
        <v>0</v>
      </c>
      <c r="G75" s="65">
        <f>ACTUAL!F77-Budget!F78</f>
        <v>0</v>
      </c>
      <c r="H75" s="65">
        <f>ACTUAL!G77-Budget!G78</f>
        <v>0</v>
      </c>
      <c r="I75" s="65">
        <f>ACTUAL!H77-Budget!H78</f>
        <v>0</v>
      </c>
      <c r="J75" s="65">
        <f>ACTUAL!I77-Budget!I78</f>
        <v>0</v>
      </c>
      <c r="K75" s="65">
        <f>ACTUAL!J77-Budget!J78</f>
        <v>0</v>
      </c>
      <c r="L75" s="65">
        <f>ACTUAL!K77-Budget!K78</f>
        <v>0</v>
      </c>
      <c r="M75" s="65">
        <f>ACTUAL!L77-Budget!L78</f>
        <v>0</v>
      </c>
      <c r="N75" s="65">
        <f>ACTUAL!M77-Budget!M78</f>
        <v>0</v>
      </c>
      <c r="O75" s="65">
        <f t="shared" ref="O75:O77" si="10">SUM(C75:N75)</f>
        <v>0</v>
      </c>
    </row>
    <row r="76" spans="2:15" ht="21" customHeight="1" x14ac:dyDescent="0.35">
      <c r="B76" s="31" t="s">
        <v>40</v>
      </c>
      <c r="C76" s="65">
        <f>ACTUAL!B78-Budget!B79</f>
        <v>0</v>
      </c>
      <c r="D76" s="65">
        <f>ACTUAL!C78-Budget!C79</f>
        <v>0</v>
      </c>
      <c r="E76" s="65">
        <f>ACTUAL!D78-Budget!D79</f>
        <v>0</v>
      </c>
      <c r="F76" s="65">
        <f>ACTUAL!E78-Budget!E79</f>
        <v>0</v>
      </c>
      <c r="G76" s="65">
        <f>ACTUAL!F78-Budget!F79</f>
        <v>0</v>
      </c>
      <c r="H76" s="65">
        <f>ACTUAL!G78-Budget!G79</f>
        <v>0</v>
      </c>
      <c r="I76" s="65">
        <f>ACTUAL!H78-Budget!H79</f>
        <v>0</v>
      </c>
      <c r="J76" s="65">
        <f>ACTUAL!I78-Budget!I79</f>
        <v>0</v>
      </c>
      <c r="K76" s="65">
        <f>ACTUAL!J78-Budget!J79</f>
        <v>0</v>
      </c>
      <c r="L76" s="65">
        <f>ACTUAL!K78-Budget!K79</f>
        <v>0</v>
      </c>
      <c r="M76" s="65">
        <f>ACTUAL!L78-Budget!L79</f>
        <v>0</v>
      </c>
      <c r="N76" s="65">
        <f>ACTUAL!M78-Budget!M79</f>
        <v>0</v>
      </c>
      <c r="O76" s="65">
        <f t="shared" si="10"/>
        <v>0</v>
      </c>
    </row>
    <row r="77" spans="2:15" ht="21" customHeight="1" x14ac:dyDescent="0.35">
      <c r="B77" s="31" t="s">
        <v>41</v>
      </c>
      <c r="C77" s="65">
        <f>ACTUAL!B80-Budget!B81</f>
        <v>0</v>
      </c>
      <c r="D77" s="65">
        <f>ACTUAL!C80-Budget!C81</f>
        <v>0</v>
      </c>
      <c r="E77" s="65">
        <f>ACTUAL!D80-Budget!D81</f>
        <v>0</v>
      </c>
      <c r="F77" s="65">
        <f>ACTUAL!E80-Budget!E81</f>
        <v>0</v>
      </c>
      <c r="G77" s="65">
        <f>ACTUAL!F80-Budget!F81</f>
        <v>0</v>
      </c>
      <c r="H77" s="65">
        <f>ACTUAL!G80-Budget!G81</f>
        <v>0</v>
      </c>
      <c r="I77" s="65">
        <f>ACTUAL!H80-Budget!H81</f>
        <v>0</v>
      </c>
      <c r="J77" s="65">
        <f>ACTUAL!I80-Budget!I81</f>
        <v>0</v>
      </c>
      <c r="K77" s="65">
        <f>ACTUAL!J80-Budget!J81</f>
        <v>0</v>
      </c>
      <c r="L77" s="65">
        <f>ACTUAL!K80-Budget!K81</f>
        <v>0</v>
      </c>
      <c r="M77" s="65">
        <f>ACTUAL!L80-Budget!L81</f>
        <v>0</v>
      </c>
      <c r="N77" s="65">
        <f>ACTUAL!M80-Budget!M81</f>
        <v>0</v>
      </c>
      <c r="O77" s="65">
        <f t="shared" si="10"/>
        <v>0</v>
      </c>
    </row>
    <row r="78" spans="2:15" ht="21" customHeight="1" x14ac:dyDescent="0.35">
      <c r="B78" s="31" t="s">
        <v>48</v>
      </c>
      <c r="C78" s="65">
        <f>ACTUAL!B79-Budget!B80</f>
        <v>0</v>
      </c>
      <c r="D78" s="65">
        <f>ACTUAL!C79-Budget!C80</f>
        <v>0</v>
      </c>
      <c r="E78" s="65">
        <f>ACTUAL!D79-Budget!D80</f>
        <v>0</v>
      </c>
      <c r="F78" s="65">
        <f>ACTUAL!E79-Budget!E80</f>
        <v>0</v>
      </c>
      <c r="G78" s="65">
        <f>ACTUAL!F79-Budget!F80</f>
        <v>0</v>
      </c>
      <c r="H78" s="65">
        <f>ACTUAL!G79-Budget!G80</f>
        <v>0</v>
      </c>
      <c r="I78" s="65">
        <f>ACTUAL!H79-Budget!H80</f>
        <v>0</v>
      </c>
      <c r="J78" s="65">
        <f>ACTUAL!I79-Budget!I80</f>
        <v>0</v>
      </c>
      <c r="K78" s="65">
        <f>ACTUAL!J79-Budget!J80</f>
        <v>0</v>
      </c>
      <c r="L78" s="65">
        <f>ACTUAL!K79-Budget!K80</f>
        <v>0</v>
      </c>
      <c r="M78" s="65">
        <f>ACTUAL!L79-Budget!L80</f>
        <v>0</v>
      </c>
      <c r="N78" s="65">
        <f>ACTUAL!M79-Budget!M80</f>
        <v>0</v>
      </c>
      <c r="O78" s="65">
        <f>SUM(C78:N78)</f>
        <v>0</v>
      </c>
    </row>
    <row r="79" spans="2:15" ht="21" customHeight="1" x14ac:dyDescent="0.35">
      <c r="B79" s="31" t="s">
        <v>42</v>
      </c>
      <c r="C79" s="65">
        <f>ACTUAL!B80-Budget!B81</f>
        <v>0</v>
      </c>
      <c r="D79" s="65">
        <f>ACTUAL!C80-Budget!C81</f>
        <v>0</v>
      </c>
      <c r="E79" s="65">
        <f>ACTUAL!D80-Budget!D81</f>
        <v>0</v>
      </c>
      <c r="F79" s="65">
        <f>ACTUAL!E80-Budget!E81</f>
        <v>0</v>
      </c>
      <c r="G79" s="65">
        <f>ACTUAL!F80-Budget!F81</f>
        <v>0</v>
      </c>
      <c r="H79" s="65">
        <f>ACTUAL!G80-Budget!G81</f>
        <v>0</v>
      </c>
      <c r="I79" s="65">
        <f>ACTUAL!H80-Budget!H81</f>
        <v>0</v>
      </c>
      <c r="J79" s="65">
        <f>ACTUAL!I80-Budget!I81</f>
        <v>0</v>
      </c>
      <c r="K79" s="65">
        <f>ACTUAL!J80-Budget!J81</f>
        <v>0</v>
      </c>
      <c r="L79" s="65">
        <f>ACTUAL!K80-Budget!K81</f>
        <v>0</v>
      </c>
      <c r="M79" s="65">
        <f>ACTUAL!L80-Budget!L81</f>
        <v>0</v>
      </c>
      <c r="N79" s="65">
        <f>ACTUAL!M80-Budget!M81</f>
        <v>0</v>
      </c>
      <c r="O79" s="65">
        <f>SUM(C79:N79)</f>
        <v>0</v>
      </c>
    </row>
    <row r="80" spans="2:15" ht="21" customHeight="1" x14ac:dyDescent="0.35">
      <c r="B80" s="198" t="s">
        <v>16</v>
      </c>
      <c r="C80" s="65">
        <f>SUBTOTAL(109,tblMarkPlan611[Jan])</f>
        <v>0</v>
      </c>
      <c r="D80" s="65">
        <f>SUBTOTAL(109,tblMarkPlan611[Feb])</f>
        <v>0</v>
      </c>
      <c r="E80" s="65" t="e">
        <f>SUBTOTAL(109,tblMarkPlan611[Mar])</f>
        <v>#REF!</v>
      </c>
      <c r="F80" s="65" t="e">
        <f>SUBTOTAL(109,tblMarkPlan611[Apr])</f>
        <v>#REF!</v>
      </c>
      <c r="G80" s="65" t="e">
        <f>SUBTOTAL(109,tblMarkPlan611[May])</f>
        <v>#REF!</v>
      </c>
      <c r="H80" s="65" t="e">
        <f>SUBTOTAL(109,tblMarkPlan611[Jun])</f>
        <v>#REF!</v>
      </c>
      <c r="I80" s="65" t="e">
        <f>SUBTOTAL(109,tblMarkPlan611[Jul])</f>
        <v>#REF!</v>
      </c>
      <c r="J80" s="65" t="e">
        <f>SUBTOTAL(109,tblMarkPlan611[Aug])</f>
        <v>#REF!</v>
      </c>
      <c r="K80" s="65" t="e">
        <f>SUBTOTAL(109,tblMarkPlan611[Sep])</f>
        <v>#REF!</v>
      </c>
      <c r="L80" s="65" t="e">
        <f>SUBTOTAL(109,tblMarkPlan611[Oct])</f>
        <v>#REF!</v>
      </c>
      <c r="M80" s="65" t="e">
        <f>SUBTOTAL(109,tblMarkPlan611[Nov])</f>
        <v>#REF!</v>
      </c>
      <c r="N80" s="65" t="e">
        <f>SUBTOTAL(109,tblMarkPlan611[Dec])</f>
        <v>#REF!</v>
      </c>
      <c r="O80" s="65" t="e">
        <f>SUBTOTAL(109,tblMarkPlan611[YEAR])</f>
        <v>#REF!</v>
      </c>
    </row>
    <row r="81" spans="2:15" ht="21" customHeight="1" x14ac:dyDescent="0.3">
      <c r="B81" s="205"/>
      <c r="C81" s="205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0"/>
    </row>
    <row r="82" spans="2:15" ht="21" customHeight="1" x14ac:dyDescent="0.3">
      <c r="B82" s="38" t="s">
        <v>43</v>
      </c>
      <c r="C82" s="27" t="s">
        <v>1</v>
      </c>
      <c r="D82" s="27" t="s">
        <v>2</v>
      </c>
      <c r="E82" s="28" t="s">
        <v>3</v>
      </c>
      <c r="F82" s="27" t="s">
        <v>4</v>
      </c>
      <c r="G82" s="27" t="s">
        <v>5</v>
      </c>
      <c r="H82" s="27" t="s">
        <v>6</v>
      </c>
      <c r="I82" s="27" t="s">
        <v>7</v>
      </c>
      <c r="J82" s="27" t="s">
        <v>8</v>
      </c>
      <c r="K82" s="27" t="s">
        <v>9</v>
      </c>
      <c r="L82" s="27" t="s">
        <v>10</v>
      </c>
      <c r="M82" s="27" t="s">
        <v>11</v>
      </c>
      <c r="N82" s="27" t="s">
        <v>12</v>
      </c>
      <c r="O82" s="29" t="s">
        <v>13</v>
      </c>
    </row>
    <row r="83" spans="2:15" ht="21" customHeight="1" x14ac:dyDescent="0.35">
      <c r="B83" s="21" t="s">
        <v>25</v>
      </c>
      <c r="C83" s="69">
        <f>ACTUAL!B88-Budget!B89</f>
        <v>0</v>
      </c>
      <c r="D83" s="69">
        <f>ACTUAL!C88-Budget!C89</f>
        <v>0</v>
      </c>
      <c r="E83" s="69">
        <f>ACTUAL!D88-Budget!D89</f>
        <v>0</v>
      </c>
      <c r="F83" s="69">
        <f>ACTUAL!E88-Budget!E89</f>
        <v>0</v>
      </c>
      <c r="G83" s="69">
        <f>ACTUAL!F88-Budget!F89</f>
        <v>0</v>
      </c>
      <c r="H83" s="69">
        <f>ACTUAL!G88-Budget!G89</f>
        <v>0</v>
      </c>
      <c r="I83" s="69">
        <f>ACTUAL!H88-Budget!H89</f>
        <v>0</v>
      </c>
      <c r="J83" s="69">
        <f>ACTUAL!I88-Budget!I89</f>
        <v>0</v>
      </c>
      <c r="K83" s="69">
        <f>ACTUAL!J88-Budget!J89</f>
        <v>0</v>
      </c>
      <c r="L83" s="69">
        <f>ACTUAL!K88-Budget!K89</f>
        <v>0</v>
      </c>
      <c r="M83" s="69">
        <f>ACTUAL!L88-Budget!L89</f>
        <v>0</v>
      </c>
      <c r="N83" s="69">
        <f>ACTUAL!M88-Budget!M89</f>
        <v>0</v>
      </c>
      <c r="O83" s="70">
        <f>SUM(C83:N83)</f>
        <v>0</v>
      </c>
    </row>
    <row r="84" spans="2:15" ht="21" customHeight="1" x14ac:dyDescent="0.35">
      <c r="B84" s="22" t="s">
        <v>26</v>
      </c>
      <c r="C84" s="103">
        <f>ACTUAL!B89-Budget!B90</f>
        <v>0</v>
      </c>
      <c r="D84" s="103">
        <f>ACTUAL!C89-Budget!C90</f>
        <v>0</v>
      </c>
      <c r="E84" s="103">
        <f>ACTUAL!D89-Budget!D90</f>
        <v>0</v>
      </c>
      <c r="F84" s="103">
        <f>ACTUAL!E89-Budget!E90</f>
        <v>0</v>
      </c>
      <c r="G84" s="103">
        <f>ACTUAL!F89-Budget!F90</f>
        <v>0</v>
      </c>
      <c r="H84" s="103">
        <f>ACTUAL!G89-Budget!G90</f>
        <v>0</v>
      </c>
      <c r="I84" s="103">
        <f>ACTUAL!H89-Budget!H90</f>
        <v>0</v>
      </c>
      <c r="J84" s="103">
        <f>ACTUAL!I89-Budget!I90</f>
        <v>0</v>
      </c>
      <c r="K84" s="103">
        <f>ACTUAL!J89-Budget!J90</f>
        <v>0</v>
      </c>
      <c r="L84" s="103">
        <f>ACTUAL!K89-Budget!K90</f>
        <v>0</v>
      </c>
      <c r="M84" s="103">
        <f>ACTUAL!L89-Budget!L90</f>
        <v>0</v>
      </c>
      <c r="N84" s="103">
        <f>ACTUAL!M89-Budget!M90</f>
        <v>0</v>
      </c>
      <c r="O84" s="104">
        <f>SUM(C84:N84)</f>
        <v>0</v>
      </c>
    </row>
    <row r="85" spans="2:15" ht="21" customHeight="1" x14ac:dyDescent="0.35">
      <c r="B85" s="40" t="s">
        <v>16</v>
      </c>
      <c r="C85" s="121">
        <f>SUBTOTAL(109,tblTrainPlan712[Jan])</f>
        <v>0</v>
      </c>
      <c r="D85" s="121">
        <f>SUBTOTAL(109,tblTrainPlan712[Feb])</f>
        <v>0</v>
      </c>
      <c r="E85" s="121">
        <f>SUBTOTAL(109,tblTrainPlan712[Mar])</f>
        <v>0</v>
      </c>
      <c r="F85" s="121">
        <f>SUBTOTAL(109,tblTrainPlan712[Apr])</f>
        <v>0</v>
      </c>
      <c r="G85" s="121">
        <f>SUBTOTAL(109,tblTrainPlan712[May])</f>
        <v>0</v>
      </c>
      <c r="H85" s="121">
        <f>SUBTOTAL(109,tblTrainPlan712[Jun])</f>
        <v>0</v>
      </c>
      <c r="I85" s="121">
        <f>SUBTOTAL(109,tblTrainPlan712[Jul])</f>
        <v>0</v>
      </c>
      <c r="J85" s="121">
        <f>SUBTOTAL(109,tblTrainPlan712[Aug])</f>
        <v>0</v>
      </c>
      <c r="K85" s="121">
        <f>SUBTOTAL(109,tblTrainPlan712[Sep])</f>
        <v>0</v>
      </c>
      <c r="L85" s="121">
        <f>SUBTOTAL(109,tblTrainPlan712[Oct])</f>
        <v>0</v>
      </c>
      <c r="M85" s="121">
        <f>SUBTOTAL(109,tblTrainPlan712[Nov])</f>
        <v>0</v>
      </c>
      <c r="N85" s="121">
        <f>SUBTOTAL(109,tblTrainPlan712[Dec])</f>
        <v>0</v>
      </c>
      <c r="O85" s="121">
        <f>SUBTOTAL(109,tblTrainPlan712[YEAR])</f>
        <v>0</v>
      </c>
    </row>
    <row r="86" spans="2:15" ht="21" customHeight="1" x14ac:dyDescent="0.3">
      <c r="B86" s="205"/>
      <c r="C86" s="205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2:15" ht="21" customHeight="1" x14ac:dyDescent="0.3">
      <c r="B87" s="17" t="s">
        <v>76</v>
      </c>
      <c r="C87" s="18"/>
      <c r="D87" s="18"/>
      <c r="E87" s="19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2:15" ht="21" customHeight="1" x14ac:dyDescent="0.35">
      <c r="B88" s="24" t="s">
        <v>97</v>
      </c>
      <c r="C88" s="79">
        <f>tblEmplPlan913[[#Totals],[Jan]]+tblOffPlan510[[#Totals],[Jan]]+tblMarkPlan611[[#Totals],[Jan]]+tblTrainPlan712[[#Totals],[Jan]]</f>
        <v>0</v>
      </c>
      <c r="D88" s="79">
        <f>tblEmplPlan913[[#Totals],[Feb]]+tblOffPlan510[[#Totals],[Feb]]+tblMarkPlan611[[#Totals],[Feb]]+tblTrainPlan712[[#Totals],[Feb]]</f>
        <v>0</v>
      </c>
      <c r="E88" s="79" t="e">
        <f>tblEmplPlan913[[#Totals],[Mar]]+tblOffPlan510[[#Totals],[Mar]]+tblMarkPlan611[[#Totals],[Mar]]+tblTrainPlan712[[#Totals],[Mar]]</f>
        <v>#REF!</v>
      </c>
      <c r="F88" s="79" t="e">
        <f>tblEmplPlan913[[#Totals],[Apr]]+tblOffPlan510[[#Totals],[Apr]]+tblMarkPlan611[[#Totals],[Apr]]+tblTrainPlan712[[#Totals],[Apr]]</f>
        <v>#REF!</v>
      </c>
      <c r="G88" s="79" t="e">
        <f>tblEmplPlan913[[#Totals],[May]]+tblOffPlan510[[#Totals],[May]]+tblMarkPlan611[[#Totals],[May]]+tblTrainPlan712[[#Totals],[May]]</f>
        <v>#REF!</v>
      </c>
      <c r="H88" s="79" t="e">
        <f>tblEmplPlan913[[#Totals],[Jun]]+tblOffPlan510[[#Totals],[Jun]]+tblMarkPlan611[[#Totals],[Jun]]+tblTrainPlan712[[#Totals],[Jun]]</f>
        <v>#REF!</v>
      </c>
      <c r="I88" s="79" t="e">
        <f>tblEmplPlan913[[#Totals],[Jul]]+tblOffPlan510[[#Totals],[Jul]]+tblMarkPlan611[[#Totals],[Jul]]+tblTrainPlan712[[#Totals],[Jul]]</f>
        <v>#REF!</v>
      </c>
      <c r="J88" s="79" t="e">
        <f>tblEmplPlan913[[#Totals],[Aug]]+tblOffPlan510[[#Totals],[Aug]]+tblMarkPlan611[[#Totals],[Aug]]+tblTrainPlan712[[#Totals],[Aug]]</f>
        <v>#REF!</v>
      </c>
      <c r="K88" s="79" t="e">
        <f>tblEmplPlan913[[#Totals],[Sep]]+tblOffPlan510[[#Totals],[Sep]]+tblMarkPlan611[[#Totals],[Sep]]+tblTrainPlan712[[#Totals],[Sep]]</f>
        <v>#REF!</v>
      </c>
      <c r="L88" s="79" t="e">
        <f>tblEmplPlan913[[#Totals],[Oct]]+tblOffPlan510[[#Totals],[Oct]]+tblMarkPlan611[[#Totals],[Oct]]+tblTrainPlan712[[#Totals],[Oct]]</f>
        <v>#REF!</v>
      </c>
      <c r="M88" s="79" t="e">
        <f>tblEmplPlan913[[#Totals],[Nov]]+tblOffPlan510[[#Totals],[Nov]]+tblMarkPlan611[[#Totals],[Nov]]+tblTrainPlan712[[#Totals],[Nov]]</f>
        <v>#REF!</v>
      </c>
      <c r="N88" s="79" t="e">
        <f>tblEmplPlan913[[#Totals],[Dec]]+tblOffPlan510[[#Totals],[Dec]]+tblMarkPlan611[[#Totals],[Dec]]+tblTrainPlan712[[#Totals],[Dec]]</f>
        <v>#REF!</v>
      </c>
      <c r="O88" s="79" t="e">
        <f>tblTrainPlan712[[#Totals],[YEAR]]+tblMarkPlan611[[#Totals],[YEAR]]+tblOffPlan510[[#Totals],[YEAR]]+tblEmplPlan913[[#Totals],[YEAR]]</f>
        <v>#REF!</v>
      </c>
    </row>
    <row r="89" spans="2:15" ht="21" customHeight="1" x14ac:dyDescent="0.35">
      <c r="B89" s="24" t="s">
        <v>98</v>
      </c>
      <c r="C89" s="79">
        <f>SUM($C$88:C88)</f>
        <v>0</v>
      </c>
      <c r="D89" s="79">
        <f>SUM($C$88:D88)</f>
        <v>0</v>
      </c>
      <c r="E89" s="79" t="e">
        <f>SUM($C$88:E88)</f>
        <v>#REF!</v>
      </c>
      <c r="F89" s="79" t="e">
        <f>SUM($C$88:F88)</f>
        <v>#REF!</v>
      </c>
      <c r="G89" s="79" t="e">
        <f>SUM($C$88:G88)</f>
        <v>#REF!</v>
      </c>
      <c r="H89" s="79" t="e">
        <f>SUM($C$88:H88)</f>
        <v>#REF!</v>
      </c>
      <c r="I89" s="79" t="e">
        <f>SUM($C$88:I88)</f>
        <v>#REF!</v>
      </c>
      <c r="J89" s="79" t="e">
        <f>SUM($C$88:J88)</f>
        <v>#REF!</v>
      </c>
      <c r="K89" s="79" t="e">
        <f>SUM($C$88:K88)</f>
        <v>#REF!</v>
      </c>
      <c r="L89" s="79" t="e">
        <f>SUM($C$88:L88)</f>
        <v>#REF!</v>
      </c>
      <c r="M89" s="79" t="e">
        <f>SUM($C$88:M88)</f>
        <v>#REF!</v>
      </c>
      <c r="N89" s="79" t="e">
        <f>SUM($C$88:N88)</f>
        <v>#REF!</v>
      </c>
      <c r="O89" s="80"/>
    </row>
    <row r="90" spans="2:15" ht="21" customHeight="1" x14ac:dyDescent="0.3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</row>
    <row r="91" spans="2:15" ht="21" customHeight="1" x14ac:dyDescent="0.3">
      <c r="B91" s="122" t="s">
        <v>18</v>
      </c>
      <c r="C91" s="59"/>
      <c r="D91" s="59"/>
      <c r="E91" s="60"/>
      <c r="F91" s="59"/>
      <c r="G91" s="59"/>
      <c r="H91" s="59"/>
      <c r="I91" s="59"/>
      <c r="J91" s="59"/>
      <c r="K91" s="59"/>
      <c r="L91" s="59"/>
      <c r="M91" s="59"/>
      <c r="N91" s="59"/>
      <c r="O91" s="59"/>
    </row>
    <row r="92" spans="2:15" ht="21" customHeight="1" x14ac:dyDescent="0.35">
      <c r="B92" s="123" t="s">
        <v>99</v>
      </c>
      <c r="C92" s="115">
        <f t="shared" ref="C92:N92" si="11">C36-C88</f>
        <v>0</v>
      </c>
      <c r="D92" s="115">
        <f t="shared" si="11"/>
        <v>0</v>
      </c>
      <c r="E92" s="115" t="e">
        <f t="shared" si="11"/>
        <v>#REF!</v>
      </c>
      <c r="F92" s="115" t="e">
        <f t="shared" si="11"/>
        <v>#REF!</v>
      </c>
      <c r="G92" s="115" t="e">
        <f t="shared" si="11"/>
        <v>#REF!</v>
      </c>
      <c r="H92" s="115" t="e">
        <f t="shared" si="11"/>
        <v>#REF!</v>
      </c>
      <c r="I92" s="115" t="e">
        <f t="shared" si="11"/>
        <v>#REF!</v>
      </c>
      <c r="J92" s="115" t="e">
        <f t="shared" si="11"/>
        <v>#REF!</v>
      </c>
      <c r="K92" s="115" t="e">
        <f t="shared" si="11"/>
        <v>#REF!</v>
      </c>
      <c r="L92" s="115" t="e">
        <f t="shared" si="11"/>
        <v>#REF!</v>
      </c>
      <c r="M92" s="115" t="e">
        <f t="shared" si="11"/>
        <v>#REF!</v>
      </c>
      <c r="N92" s="115" t="e">
        <f t="shared" si="11"/>
        <v>#REF!</v>
      </c>
      <c r="O92" s="116"/>
    </row>
    <row r="93" spans="2:15" ht="21" customHeight="1" x14ac:dyDescent="0.35">
      <c r="B93" s="123" t="s">
        <v>63</v>
      </c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8"/>
    </row>
    <row r="94" spans="2:15" ht="21" customHeight="1" x14ac:dyDescent="0.35">
      <c r="B94" s="123" t="s">
        <v>64</v>
      </c>
      <c r="C94" s="115">
        <f>C92-C93</f>
        <v>0</v>
      </c>
      <c r="D94" s="115">
        <f t="shared" ref="D94:N94" si="12">D92-D93</f>
        <v>0</v>
      </c>
      <c r="E94" s="115" t="e">
        <f t="shared" si="12"/>
        <v>#REF!</v>
      </c>
      <c r="F94" s="115" t="e">
        <f t="shared" si="12"/>
        <v>#REF!</v>
      </c>
      <c r="G94" s="115" t="e">
        <f t="shared" si="12"/>
        <v>#REF!</v>
      </c>
      <c r="H94" s="115" t="e">
        <f t="shared" si="12"/>
        <v>#REF!</v>
      </c>
      <c r="I94" s="115" t="e">
        <f t="shared" si="12"/>
        <v>#REF!</v>
      </c>
      <c r="J94" s="115" t="e">
        <f t="shared" si="12"/>
        <v>#REF!</v>
      </c>
      <c r="K94" s="115" t="e">
        <f t="shared" si="12"/>
        <v>#REF!</v>
      </c>
      <c r="L94" s="115" t="e">
        <f t="shared" si="12"/>
        <v>#REF!</v>
      </c>
      <c r="M94" s="115" t="e">
        <f t="shared" si="12"/>
        <v>#REF!</v>
      </c>
      <c r="N94" s="115" t="e">
        <f t="shared" si="12"/>
        <v>#REF!</v>
      </c>
      <c r="O94" s="119"/>
    </row>
    <row r="95" spans="2:15" ht="21" customHeight="1" x14ac:dyDescent="0.35">
      <c r="B95" s="44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45"/>
    </row>
    <row r="96" spans="2:15" ht="21" customHeight="1" x14ac:dyDescent="0.3">
      <c r="B96" s="55" t="s">
        <v>85</v>
      </c>
      <c r="C96" s="56"/>
      <c r="D96" s="56"/>
      <c r="E96" s="57"/>
      <c r="F96" s="56"/>
      <c r="G96" s="56"/>
      <c r="H96" s="56"/>
      <c r="I96" s="56"/>
      <c r="J96" s="56"/>
      <c r="K96" s="56"/>
      <c r="L96" s="56"/>
      <c r="M96" s="56"/>
      <c r="N96" s="56"/>
      <c r="O96" s="56"/>
    </row>
    <row r="97" spans="2:15" ht="21" customHeight="1" x14ac:dyDescent="0.35">
      <c r="B97" s="24" t="s">
        <v>86</v>
      </c>
      <c r="C97" s="79">
        <f>C12-C26-C41</f>
        <v>0</v>
      </c>
      <c r="D97" s="79">
        <f t="shared" ref="D97:N97" si="13">D12-D26-D41</f>
        <v>0</v>
      </c>
      <c r="E97" s="79">
        <f t="shared" si="13"/>
        <v>0</v>
      </c>
      <c r="F97" s="79">
        <f t="shared" si="13"/>
        <v>0</v>
      </c>
      <c r="G97" s="79">
        <f t="shared" si="13"/>
        <v>0</v>
      </c>
      <c r="H97" s="79">
        <f t="shared" si="13"/>
        <v>0</v>
      </c>
      <c r="I97" s="79">
        <f t="shared" si="13"/>
        <v>0</v>
      </c>
      <c r="J97" s="79">
        <f t="shared" si="13"/>
        <v>0</v>
      </c>
      <c r="K97" s="79">
        <f t="shared" si="13"/>
        <v>0</v>
      </c>
      <c r="L97" s="79">
        <f t="shared" si="13"/>
        <v>0</v>
      </c>
      <c r="M97" s="79">
        <f t="shared" si="13"/>
        <v>0</v>
      </c>
      <c r="N97" s="79">
        <f t="shared" si="13"/>
        <v>0</v>
      </c>
      <c r="O97" s="25"/>
    </row>
    <row r="98" spans="2:15" ht="21" customHeight="1" x14ac:dyDescent="0.35">
      <c r="B98" s="24" t="s">
        <v>88</v>
      </c>
      <c r="C98" s="79">
        <f>C15-C28-C43</f>
        <v>0</v>
      </c>
      <c r="D98" s="79">
        <f t="shared" ref="D98:N98" si="14">D15-D28-D43</f>
        <v>0</v>
      </c>
      <c r="E98" s="79">
        <f t="shared" si="14"/>
        <v>0</v>
      </c>
      <c r="F98" s="79">
        <f t="shared" si="14"/>
        <v>0</v>
      </c>
      <c r="G98" s="79">
        <f t="shared" si="14"/>
        <v>0</v>
      </c>
      <c r="H98" s="79">
        <f t="shared" si="14"/>
        <v>0</v>
      </c>
      <c r="I98" s="79">
        <f t="shared" si="14"/>
        <v>0</v>
      </c>
      <c r="J98" s="79">
        <f t="shared" si="14"/>
        <v>0</v>
      </c>
      <c r="K98" s="79">
        <f t="shared" si="14"/>
        <v>0</v>
      </c>
      <c r="L98" s="79">
        <f t="shared" si="14"/>
        <v>0</v>
      </c>
      <c r="M98" s="79">
        <f t="shared" si="14"/>
        <v>0</v>
      </c>
      <c r="N98" s="79">
        <f t="shared" si="14"/>
        <v>0</v>
      </c>
      <c r="O98" s="25"/>
    </row>
    <row r="99" spans="2:15" ht="21" hidden="1" customHeight="1" x14ac:dyDescent="0.35">
      <c r="B99" s="24" t="s">
        <v>89</v>
      </c>
      <c r="C99" s="79" t="e">
        <f>C16-C29-C42</f>
        <v>#REF!</v>
      </c>
      <c r="D99" s="79" t="e">
        <f t="shared" ref="D99:N99" si="15">D16-D29-D42</f>
        <v>#REF!</v>
      </c>
      <c r="E99" s="79" t="e">
        <f t="shared" si="15"/>
        <v>#REF!</v>
      </c>
      <c r="F99" s="79" t="e">
        <f t="shared" si="15"/>
        <v>#REF!</v>
      </c>
      <c r="G99" s="79" t="e">
        <f t="shared" si="15"/>
        <v>#REF!</v>
      </c>
      <c r="H99" s="79" t="e">
        <f t="shared" si="15"/>
        <v>#REF!</v>
      </c>
      <c r="I99" s="79" t="e">
        <f t="shared" si="15"/>
        <v>#REF!</v>
      </c>
      <c r="J99" s="79" t="e">
        <f t="shared" si="15"/>
        <v>#REF!</v>
      </c>
      <c r="K99" s="79" t="e">
        <f t="shared" si="15"/>
        <v>#REF!</v>
      </c>
      <c r="L99" s="79" t="e">
        <f t="shared" si="15"/>
        <v>#REF!</v>
      </c>
      <c r="M99" s="79" t="e">
        <f t="shared" si="15"/>
        <v>#REF!</v>
      </c>
      <c r="N99" s="79" t="e">
        <f t="shared" si="15"/>
        <v>#REF!</v>
      </c>
      <c r="O99" s="25"/>
    </row>
    <row r="100" spans="2:15" ht="21" customHeight="1" x14ac:dyDescent="0.35">
      <c r="B100" s="24" t="s">
        <v>87</v>
      </c>
      <c r="C100" s="79">
        <f>C14-C27-C44</f>
        <v>0</v>
      </c>
      <c r="D100" s="79">
        <f t="shared" ref="D100:N100" si="16">D14-D27-D44</f>
        <v>0</v>
      </c>
      <c r="E100" s="79">
        <f t="shared" si="16"/>
        <v>0</v>
      </c>
      <c r="F100" s="79">
        <f t="shared" si="16"/>
        <v>0</v>
      </c>
      <c r="G100" s="79">
        <f t="shared" si="16"/>
        <v>0</v>
      </c>
      <c r="H100" s="79">
        <f t="shared" si="16"/>
        <v>0</v>
      </c>
      <c r="I100" s="79">
        <f t="shared" si="16"/>
        <v>0</v>
      </c>
      <c r="J100" s="79">
        <f t="shared" si="16"/>
        <v>0</v>
      </c>
      <c r="K100" s="79">
        <f t="shared" si="16"/>
        <v>0</v>
      </c>
      <c r="L100" s="79">
        <f t="shared" si="16"/>
        <v>0</v>
      </c>
      <c r="M100" s="79">
        <f t="shared" si="16"/>
        <v>0</v>
      </c>
      <c r="N100" s="79">
        <f t="shared" si="16"/>
        <v>0</v>
      </c>
      <c r="O100" s="25"/>
    </row>
    <row r="101" spans="2:15" ht="21" customHeight="1" x14ac:dyDescent="0.35">
      <c r="B101" s="24" t="s">
        <v>90</v>
      </c>
      <c r="C101" s="111">
        <f>tblEmplPlan141720[[#Totals],[Jan]]-C24</f>
        <v>0</v>
      </c>
      <c r="D101" s="111">
        <f>tblEmplPlan141720[[#Totals],[Feb]]-D24</f>
        <v>0</v>
      </c>
      <c r="E101" s="111">
        <f>tblEmplPlan141720[[#Totals],[Mar]]-E24</f>
        <v>0</v>
      </c>
      <c r="F101" s="111">
        <f>tblEmplPlan141720[[#Totals],[Apr]]-F24</f>
        <v>0</v>
      </c>
      <c r="G101" s="111">
        <f>tblEmplPlan141720[[#Totals],[May]]-G24</f>
        <v>0</v>
      </c>
      <c r="H101" s="111">
        <f>tblEmplPlan141720[[#Totals],[Jun]]-H24</f>
        <v>0</v>
      </c>
      <c r="I101" s="111">
        <f>tblEmplPlan141720[[#Totals],[Jul]]-I24</f>
        <v>0</v>
      </c>
      <c r="J101" s="111">
        <f>tblEmplPlan141720[[#Totals],[Aug]]-J24</f>
        <v>0</v>
      </c>
      <c r="K101" s="111">
        <f>tblEmplPlan141720[[#Totals],[Sep]]-K24</f>
        <v>0</v>
      </c>
      <c r="L101" s="111">
        <f>tblEmplPlan141720[[#Totals],[Oct]]-L24</f>
        <v>0</v>
      </c>
      <c r="M101" s="111">
        <f>tblEmplPlan141720[[#Totals],[Nov]]-M24</f>
        <v>0</v>
      </c>
      <c r="N101" s="111">
        <f>tblEmplPlan141720[[#Totals],[Dec]]-N24</f>
        <v>0</v>
      </c>
      <c r="O101" s="37"/>
    </row>
    <row r="104" spans="2:15" ht="21" customHeight="1" x14ac:dyDescent="0.3">
      <c r="B104" s="12" t="s">
        <v>92</v>
      </c>
    </row>
    <row r="105" spans="2:15" ht="21" customHeight="1" x14ac:dyDescent="0.3">
      <c r="B105" s="12" t="s">
        <v>47</v>
      </c>
    </row>
    <row r="106" spans="2:15" ht="21" customHeight="1" x14ac:dyDescent="0.3">
      <c r="B106" s="12" t="s">
        <v>50</v>
      </c>
    </row>
  </sheetData>
  <mergeCells count="4">
    <mergeCell ref="B71:C71"/>
    <mergeCell ref="B81:C81"/>
    <mergeCell ref="B86:C86"/>
    <mergeCell ref="B50:C50"/>
  </mergeCells>
  <printOptions horizontalCentered="1"/>
  <pageMargins left="0.4" right="0.4" top="0.4" bottom="0.4" header="0.3" footer="0.3"/>
  <pageSetup paperSize="3" scale="64" fitToHeight="0" orientation="portrait" r:id="rId1"/>
  <headerFooter differentFirst="1">
    <oddFooter>Page &amp;P of &amp;N</oddFooter>
  </headerFooter>
  <tableParts count="7">
    <tablePart r:id="rId2"/>
    <tablePart r:id="rId3"/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35"/>
  <cols>
    <col min="1" max="1" width="12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4118EEB0FA8A4893C7308F82FEA82F" ma:contentTypeVersion="1" ma:contentTypeDescription="Create a new document." ma:contentTypeScope="" ma:versionID="141f0d6a06fcbb135f1f7f257f631a16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36548823768f82d397408ec7171e683c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834A0918-FE0B-41DA-9C93-DEAD49E94C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1E95F4-057B-4D59-9D1D-2421DAE538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E71650-1AB7-4CA9-91CC-7828EF96FE5A}">
  <ds:schemaRefs>
    <ds:schemaRef ds:uri="http://schemas.microsoft.com/sharepoint/v4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 Summary</vt:lpstr>
      <vt:lpstr>Budget</vt:lpstr>
      <vt:lpstr>Sheet2</vt:lpstr>
      <vt:lpstr>ACTUAL</vt:lpstr>
      <vt:lpstr>EXPENSE VARIANCES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Giles</dc:creator>
  <cp:lastModifiedBy>Ryan Giles</cp:lastModifiedBy>
  <cp:lastPrinted>2017-04-28T17:12:01Z</cp:lastPrinted>
  <dcterms:created xsi:type="dcterms:W3CDTF">2016-02-16T20:26:14Z</dcterms:created>
  <dcterms:modified xsi:type="dcterms:W3CDTF">2018-07-23T18:47:29Z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0x010100B14118EEB0FA8A4893C7308F82FEA82F</vt:lpwstr>
  </property>
</Properties>
</file>